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4780" windowHeight="11385"/>
  </bookViews>
  <sheets>
    <sheet name="ШР 2020 Г" sheetId="2" r:id="rId1"/>
    <sheet name="СМЕТА ПРОЕКТ 2020 Г" sheetId="1" r:id="rId2"/>
  </sheets>
  <definedNames>
    <definedName name="_xlnm._FilterDatabase" localSheetId="1">'СМЕТА ПРОЕКТ 2020 Г'!$A$22:$D$88</definedName>
  </definedNames>
  <calcPr calcId="145621"/>
</workbook>
</file>

<file path=xl/calcChain.xml><?xml version="1.0" encoding="utf-8"?>
<calcChain xmlns="http://schemas.openxmlformats.org/spreadsheetml/2006/main">
  <c r="DT25" i="2" l="1"/>
  <c r="DI24" i="2"/>
  <c r="DI23" i="2"/>
  <c r="DI22" i="2"/>
  <c r="DI21" i="2"/>
  <c r="EV20" i="2"/>
  <c r="DI20" i="2"/>
  <c r="DI19" i="2"/>
  <c r="EV18" i="2"/>
  <c r="DI18" i="2"/>
  <c r="EV17" i="2"/>
  <c r="DI17" i="2"/>
  <c r="EV16" i="2"/>
  <c r="EV25" i="2" s="1"/>
  <c r="DI16" i="2"/>
  <c r="DX11" i="2"/>
  <c r="C91" i="1"/>
  <c r="C90" i="1"/>
  <c r="C89" i="1"/>
  <c r="C88" i="1"/>
  <c r="C87" i="1"/>
  <c r="C86" i="1"/>
  <c r="C85" i="1"/>
  <c r="C84" i="1"/>
  <c r="C83" i="1"/>
  <c r="C82" i="1"/>
  <c r="D81" i="1"/>
  <c r="C81" i="1" s="1"/>
  <c r="D80" i="1"/>
  <c r="C80" i="1"/>
  <c r="D79" i="1"/>
  <c r="D77" i="1" s="1"/>
  <c r="E77" i="1" s="1"/>
  <c r="A79" i="1"/>
  <c r="A80" i="1" s="1"/>
  <c r="A81" i="1" s="1"/>
  <c r="A82" i="1" s="1"/>
  <c r="A83" i="1" s="1"/>
  <c r="A84" i="1" s="1"/>
  <c r="A85" i="1" s="1"/>
  <c r="A86" i="1" s="1"/>
  <c r="D78" i="1"/>
  <c r="C78" i="1"/>
  <c r="A78" i="1"/>
  <c r="C75" i="1"/>
  <c r="A75" i="1"/>
  <c r="C74" i="1"/>
  <c r="A74" i="1"/>
  <c r="D73" i="1"/>
  <c r="E73" i="1" s="1"/>
  <c r="C73" i="1"/>
  <c r="C70" i="1"/>
  <c r="C69" i="1"/>
  <c r="C68" i="1"/>
  <c r="C67" i="1"/>
  <c r="C66" i="1"/>
  <c r="C65" i="1"/>
  <c r="C64" i="1"/>
  <c r="C60" i="1" s="1"/>
  <c r="C63" i="1"/>
  <c r="A63" i="1"/>
  <c r="C62" i="1"/>
  <c r="E60" i="1"/>
  <c r="D60" i="1"/>
  <c r="C58" i="1"/>
  <c r="D57" i="1"/>
  <c r="C57" i="1"/>
  <c r="D56" i="1"/>
  <c r="C56" i="1" s="1"/>
  <c r="C55" i="1" s="1"/>
  <c r="A56" i="1"/>
  <c r="A57" i="1" s="1"/>
  <c r="A58" i="1" s="1"/>
  <c r="D53" i="1"/>
  <c r="C53" i="1" s="1"/>
  <c r="D52" i="1"/>
  <c r="C52" i="1" s="1"/>
  <c r="C51" i="1"/>
  <c r="C50" i="1"/>
  <c r="C49" i="1"/>
  <c r="D48" i="1"/>
  <c r="C48" i="1"/>
  <c r="D47" i="1"/>
  <c r="E47" i="1" s="1"/>
  <c r="C45" i="1"/>
  <c r="C44" i="1"/>
  <c r="C42" i="1" s="1"/>
  <c r="A44" i="1"/>
  <c r="A45" i="1" s="1"/>
  <c r="C43" i="1"/>
  <c r="A43" i="1"/>
  <c r="E42" i="1"/>
  <c r="D42" i="1"/>
  <c r="C40" i="1"/>
  <c r="C39" i="1"/>
  <c r="C38" i="1"/>
  <c r="C37" i="1"/>
  <c r="C36" i="1"/>
  <c r="A36" i="1"/>
  <c r="A37" i="1" s="1"/>
  <c r="A38" i="1" s="1"/>
  <c r="A39" i="1" s="1"/>
  <c r="A40" i="1" s="1"/>
  <c r="C35" i="1"/>
  <c r="A35" i="1"/>
  <c r="D34" i="1"/>
  <c r="E34" i="1" s="1"/>
  <c r="C34" i="1"/>
  <c r="C32" i="1"/>
  <c r="C31" i="1"/>
  <c r="C30" i="1"/>
  <c r="C29" i="1"/>
  <c r="C28" i="1"/>
  <c r="C27" i="1"/>
  <c r="C26" i="1"/>
  <c r="D25" i="1"/>
  <c r="C25" i="1"/>
  <c r="D24" i="1"/>
  <c r="C24" i="1"/>
  <c r="C23" i="1" s="1"/>
  <c r="D23" i="1"/>
  <c r="D18" i="1"/>
  <c r="C18" i="1"/>
  <c r="D17" i="1"/>
  <c r="C17" i="1"/>
  <c r="C16" i="1"/>
  <c r="C15" i="1"/>
  <c r="C14" i="1"/>
  <c r="C13" i="1"/>
  <c r="C12" i="1"/>
  <c r="D11" i="1"/>
  <c r="D19" i="1" s="1"/>
  <c r="C10" i="1"/>
  <c r="D9" i="1"/>
  <c r="C9" i="1"/>
  <c r="E7" i="1"/>
  <c r="C19" i="1" l="1"/>
  <c r="C93" i="1" s="1"/>
  <c r="D93" i="1"/>
  <c r="C47" i="1"/>
  <c r="D55" i="1"/>
  <c r="C79" i="1"/>
  <c r="C77" i="1" s="1"/>
  <c r="C94" i="1" s="1"/>
  <c r="C11" i="1"/>
  <c r="E23" i="1"/>
  <c r="D21" i="1" l="1"/>
  <c r="E55" i="1"/>
  <c r="E93" i="1" s="1"/>
  <c r="E94" i="1"/>
  <c r="C95" i="1"/>
  <c r="D94" i="1"/>
  <c r="E96" i="1" s="1"/>
  <c r="E98" i="1" l="1"/>
</calcChain>
</file>

<file path=xl/comments1.xml><?xml version="1.0" encoding="utf-8"?>
<comments xmlns="http://schemas.openxmlformats.org/spreadsheetml/2006/main">
  <authors>
    <author>lni</author>
  </authors>
  <commentList>
    <comment ref="D11" authorId="0">
      <text>
        <r>
          <rPr>
            <b/>
            <sz val="8"/>
            <color indexed="81"/>
            <rFont val="Tahoma"/>
            <family val="2"/>
            <charset val="204"/>
          </rPr>
          <t>lni:</t>
        </r>
        <r>
          <rPr>
            <sz val="8"/>
            <color indexed="81"/>
            <rFont val="Tahoma"/>
            <family val="2"/>
            <charset val="204"/>
          </rPr>
          <t xml:space="preserve">
171200 упущеная выгода Фалалеева
32400 упущенная выгода Лаптева</t>
        </r>
      </text>
    </comment>
  </commentList>
</comments>
</file>

<file path=xl/sharedStrings.xml><?xml version="1.0" encoding="utf-8"?>
<sst xmlns="http://schemas.openxmlformats.org/spreadsheetml/2006/main" count="165" uniqueCount="147">
  <si>
    <t xml:space="preserve">Смета доходов и расходов </t>
  </si>
  <si>
    <t>ТСН "ТСЖ "Щербакова 20"  на 2020 год</t>
  </si>
  <si>
    <t xml:space="preserve">Утверждена общим собранием </t>
  </si>
  <si>
    <t>членов ТСН "_____"_________2020г.</t>
  </si>
  <si>
    <t>ТАРИФ ТСЖ</t>
  </si>
  <si>
    <t>Смета доходов на 2020 год</t>
  </si>
  <si>
    <t>Общая площадь помещений, кв.м</t>
  </si>
  <si>
    <t>№ п/п</t>
  </si>
  <si>
    <t>Статья</t>
  </si>
  <si>
    <t>Всего в месяц</t>
  </si>
  <si>
    <t>Всего в год</t>
  </si>
  <si>
    <t>На 1 кв метр</t>
  </si>
  <si>
    <t>Содержание жилья</t>
  </si>
  <si>
    <t>Оплата провайдеров за оборудование</t>
  </si>
  <si>
    <t>Аренда общего имущества (подвал)</t>
  </si>
  <si>
    <t>Оплата киоска за уборку территории</t>
  </si>
  <si>
    <t>Вознаграждение агента за предоставление электроэнергии</t>
  </si>
  <si>
    <t>Макулатура МС-5Б (картон)</t>
  </si>
  <si>
    <t xml:space="preserve">ЛОМ 12А СТАЛЬНОЙ
</t>
  </si>
  <si>
    <t>Размещение информации в лифтах</t>
  </si>
  <si>
    <t>Размещение наружной рекламы</t>
  </si>
  <si>
    <t>Резерв</t>
  </si>
  <si>
    <t>Итого плановый доход</t>
  </si>
  <si>
    <t>Смета доходов и расходов на 2020 год</t>
  </si>
  <si>
    <t>Ставка с 1 кв.м</t>
  </si>
  <si>
    <t>Содержание и обслуживание общего имущества</t>
  </si>
  <si>
    <t>1.1</t>
  </si>
  <si>
    <t>Заработная плата технического персонала (уборщицы, диспетчеры)</t>
  </si>
  <si>
    <t>1.2</t>
  </si>
  <si>
    <t>Налоги на заработную плату</t>
  </si>
  <si>
    <t>1.3</t>
  </si>
  <si>
    <t xml:space="preserve">Расходные материалы и инвентарь для обслуживания и текущего ремонта общедомового имущества </t>
  </si>
  <si>
    <t>1.4</t>
  </si>
  <si>
    <t>Материалы (песок, цемент, краска, крепеж и пр.)</t>
  </si>
  <si>
    <t>1.5</t>
  </si>
  <si>
    <t>Спецодежда</t>
  </si>
  <si>
    <t>1.6</t>
  </si>
  <si>
    <t>Доставка, погрузочно-разгрузочные работы</t>
  </si>
  <si>
    <t>1.7</t>
  </si>
  <si>
    <t>Обслуживание охранно-пожарной сигнализации,</t>
  </si>
  <si>
    <t>1.8</t>
  </si>
  <si>
    <t>Обслуживание домофонной системы,  видеонаблюдения, ворот . Противопожарное оборудование и материалы</t>
  </si>
  <si>
    <t>1.9</t>
  </si>
  <si>
    <t>Дератизация, дезинсекция</t>
  </si>
  <si>
    <t>Содержание придомовой территории</t>
  </si>
  <si>
    <t>Вывоз ТБО, КГМ, оплата за уборку контейнерной площадки</t>
  </si>
  <si>
    <t>Заработная плата дворника/разнорабочего</t>
  </si>
  <si>
    <t>Инвентарь и материалы для обслуживания и ремонта придомовой  территории ( лопаты, метлы, мешки, рукавицы и пр.)</t>
  </si>
  <si>
    <t>Уборка снега трактором и вывоз</t>
  </si>
  <si>
    <t>Вывоз снега</t>
  </si>
  <si>
    <t>Содержание лифтового оборудования</t>
  </si>
  <si>
    <t>Обслуживание лифтов</t>
  </si>
  <si>
    <t>Обязательное страхование лифтов</t>
  </si>
  <si>
    <t>Обязательное тех освидетельствование лифтов</t>
  </si>
  <si>
    <t>Техническое обслуживание инженерных сетей и оборудования</t>
  </si>
  <si>
    <t>Расходные материалы, оборудование  для обслуживания и ремонта инж. сетей</t>
  </si>
  <si>
    <t>Инструмент</t>
  </si>
  <si>
    <t>Обслуживание сантехнического оборудования</t>
  </si>
  <si>
    <t>Аварийно-диспетчерское обслуживание инж сетей</t>
  </si>
  <si>
    <t xml:space="preserve">Инженер </t>
  </si>
  <si>
    <t>Техническое обслуживание электроснабжения</t>
  </si>
  <si>
    <t>Заработная плата электрика</t>
  </si>
  <si>
    <t>Расходные материалы, оборудование  для обслуживания и ремонта Э/С(ламочки, провод, автоматы, патроны, плафоны и т.д.)</t>
  </si>
  <si>
    <t>Текущий ремонт и модернизация общего имущества, инженерных систем</t>
  </si>
  <si>
    <t>Косметический ремонт лифтовых холов 1 эт. 1, 2, 3, 4, 5, 6,7 подъезды - работы</t>
  </si>
  <si>
    <t>Озеленение территории</t>
  </si>
  <si>
    <t>Нанесение разметки на парковке</t>
  </si>
  <si>
    <t>Благоустройство придомовой территории (покраска малых архитектурных форм (установка ограждения детской спортивной площадки,мелкий ремонт) - работы</t>
  </si>
  <si>
    <t>6.5</t>
  </si>
  <si>
    <t>Расходные материалы для благоустройства  придомовой территории)</t>
  </si>
  <si>
    <t>Чистка теплообменника ИТП 2 очереди</t>
  </si>
  <si>
    <t>Замена деревянных и металлических  дверей в лифтовых холлах</t>
  </si>
  <si>
    <t>Расширение ниждней парковки</t>
  </si>
  <si>
    <t>Закупка оборудования для установки шлагбаума</t>
  </si>
  <si>
    <t>Работа высотников по ремонту переходных лоджий</t>
  </si>
  <si>
    <t>Формирование фондов (резерва)</t>
  </si>
  <si>
    <t>Непредвиденные расходы (штрафы, судебные издержки и т.д.)</t>
  </si>
  <si>
    <t>Компенсация затрат на ОДН (водоотведение)</t>
  </si>
  <si>
    <t>Расходы на АУП</t>
  </si>
  <si>
    <t>Заработная плата председатель/управляющий</t>
  </si>
  <si>
    <t>Бухгалтер</t>
  </si>
  <si>
    <t>Юрист</t>
  </si>
  <si>
    <t>Налоги на коммерческую деятельность ТСЖ</t>
  </si>
  <si>
    <t>Покупка и ремонт мебели в помещениях консьержных/ТСЖ</t>
  </si>
  <si>
    <t>Покупка/ремонт компьютерной техники, оргтехники, телефонных аппаратов</t>
  </si>
  <si>
    <t>Расходные материалы (заправка картриджей, канц.товары)</t>
  </si>
  <si>
    <t>Почтовые расходы, канцелярсике расходы</t>
  </si>
  <si>
    <t>8.10</t>
  </si>
  <si>
    <t>Покупка/обновление программного обеспечения (сертификаты, налоговая отчетность, расчетная программа, интернет-сайт)</t>
  </si>
  <si>
    <t>Оплата услуг связи (интернет, телефония)</t>
  </si>
  <si>
    <t>Расходы на праздники</t>
  </si>
  <si>
    <t>Обслуживание расчетного счета</t>
  </si>
  <si>
    <t>Обучение (семинары по ЖКХ)</t>
  </si>
  <si>
    <t>Итого смета доходов, руб</t>
  </si>
  <si>
    <t>Итого смета расходов, руб</t>
  </si>
  <si>
    <t>Баланс на конец периода</t>
  </si>
  <si>
    <t>Председатель ТСН "ТСЖ "Щербакова 20"</t>
  </si>
  <si>
    <t>Бобырев Ю.М.</t>
  </si>
  <si>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</si>
  <si>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</si>
  <si>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</si>
  <si>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</si>
  <si>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>Товарищество Собственников Недвижимости "ТСЖ "Щербакова 20"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</si>
  <si>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</si>
  <si>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</si>
  <si>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</si>
  <si>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</si>
  <si>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</si>
  <si>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УТВЕРЖДЕНО</t>
  </si>
  <si>
    <t>Общем собранием ТСН от "</t>
  </si>
  <si>
    <t>"</t>
  </si>
  <si>
    <t xml:space="preserve">г. № </t>
  </si>
  <si>
    <t>на период</t>
  </si>
  <si>
    <t>2020 год</t>
  </si>
  <si>
    <t>с "</t>
  </si>
  <si>
    <t>01</t>
  </si>
  <si>
    <t>января</t>
  </si>
  <si>
    <t>20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</si>
  <si>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</si>
  <si>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</si>
  <si>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</si>
  <si>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</si>
  <si>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</si>
  <si>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</si>
  <si>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</si>
  <si>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</si>
  <si>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</si>
  <si>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Фонд оплаты труда за год</t>
  </si>
  <si>
    <t>наименование</t>
  </si>
  <si>
    <t>код</t>
  </si>
  <si>
    <t>премия ежемесяч.</t>
  </si>
  <si>
    <t>премия квартальная</t>
  </si>
  <si>
    <t>Районный коэф-т</t>
  </si>
  <si>
    <t>Председатель</t>
  </si>
  <si>
    <t>Управляющий</t>
  </si>
  <si>
    <t>Электрик</t>
  </si>
  <si>
    <t>Инженер</t>
  </si>
  <si>
    <t>Дворник</t>
  </si>
  <si>
    <t>Уборщица</t>
  </si>
  <si>
    <t>Диспетчер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</si>
  <si>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</si>
  <si>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</si>
  <si>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</si>
  <si>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</si>
  <si>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</si>
  <si>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</si>
  <si>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Лутошкина Н.И.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</si>
</sst>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\ _₽_-;\-* #,##0.00\ _₽_-;_-* \-??\ _₽_-;_-@_-"/>
    <numFmt numFmtId="165" formatCode="_-* #,##0.00_р_._-;\-* #,##0.00_р_._-;_-* \-??_р_._-;_-@"/>
    <numFmt numFmtId="166" formatCode="_-* #,##0_р_._-;\-* #,##0_р_._-;_-* \-??_р_._-;_-@"/>
    <numFmt numFmtId="167" formatCode="_-* #,##0\ _₽_-;\-* #,##0\ _₽_-;_-* \-??\ _₽_-;_-@_-"/>
    <numFmt numFmtId="168" formatCode="#,##0_р_."/>
  </numFmts>
  <fonts count="19" x14ac:knownFonts="1">
    <font>
      <sz val="11"/>
      <color rgb="FF000000"/>
      <name val="Calibri"/>
      <charset val="1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20"/>
      <name val="Calibri"/>
      <family val="2"/>
      <charset val="204"/>
    </font>
    <font>
      <sz val="9"/>
      <color theme="4"/>
      <name val="Arial"/>
      <family val="2"/>
      <charset val="1"/>
    </font>
    <font>
      <sz val="20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sz val="11"/>
      <color theme="4"/>
      <name val="Calibri"/>
      <family val="2"/>
      <charset val="204"/>
    </font>
    <font>
      <sz val="9"/>
      <name val="Arial"/>
      <family val="2"/>
      <charset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9900"/>
      </patternFill>
    </fill>
    <fill>
      <patternFill patternType="solid">
        <fgColor theme="0"/>
        <bgColor rgb="FFFF9900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Protection="0"/>
    <xf numFmtId="164" fontId="5" fillId="0" borderId="0" applyBorder="0" applyProtection="0"/>
  </cellStyleXfs>
  <cellXfs count="17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/>
    <xf numFmtId="0" fontId="1" fillId="0" borderId="0" xfId="0" applyFont="1" applyBorder="1" applyAlignment="1">
      <alignment horizontal="center"/>
    </xf>
    <xf numFmtId="0" fontId="2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3" borderId="5" xfId="0" applyFont="1" applyFill="1" applyBorder="1"/>
    <xf numFmtId="164" fontId="1" fillId="4" borderId="5" xfId="1" applyFont="1" applyFill="1" applyBorder="1" applyAlignment="1" applyProtection="1"/>
    <xf numFmtId="165" fontId="3" fillId="3" borderId="6" xfId="0" applyNumberFormat="1" applyFont="1" applyFill="1" applyBorder="1"/>
    <xf numFmtId="43" fontId="6" fillId="5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164" fontId="1" fillId="0" borderId="9" xfId="1" applyFont="1" applyBorder="1" applyAlignment="1" applyProtection="1"/>
    <xf numFmtId="4" fontId="7" fillId="2" borderId="10" xfId="2" applyNumberFormat="1" applyFont="1" applyFill="1" applyBorder="1" applyAlignment="1">
      <alignment horizontal="right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4" fontId="7" fillId="2" borderId="14" xfId="2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7" fillId="2" borderId="15" xfId="2" applyNumberFormat="1" applyFont="1" applyFill="1" applyBorder="1" applyAlignment="1">
      <alignment horizontal="right" vertical="top" wrapText="1"/>
    </xf>
    <xf numFmtId="0" fontId="1" fillId="0" borderId="16" xfId="0" applyFont="1" applyBorder="1"/>
    <xf numFmtId="0" fontId="3" fillId="3" borderId="17" xfId="0" applyFont="1" applyFill="1" applyBorder="1" applyAlignment="1">
      <alignment horizontal="right"/>
    </xf>
    <xf numFmtId="164" fontId="3" fillId="3" borderId="9" xfId="1" applyNumberFormat="1" applyFont="1" applyFill="1" applyBorder="1" applyAlignment="1" applyProtection="1"/>
    <xf numFmtId="165" fontId="3" fillId="3" borderId="18" xfId="0" applyNumberFormat="1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0" xfId="0" applyFont="1" applyBorder="1"/>
    <xf numFmtId="0" fontId="1" fillId="2" borderId="21" xfId="0" applyFont="1" applyFill="1" applyBorder="1"/>
    <xf numFmtId="0" fontId="1" fillId="0" borderId="20" xfId="0" applyFont="1" applyBorder="1"/>
    <xf numFmtId="43" fontId="1" fillId="2" borderId="21" xfId="0" applyNumberFormat="1" applyFont="1" applyFill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wrapText="1"/>
    </xf>
    <xf numFmtId="165" fontId="4" fillId="3" borderId="28" xfId="0" applyNumberFormat="1" applyFont="1" applyFill="1" applyBorder="1"/>
    <xf numFmtId="165" fontId="9" fillId="2" borderId="25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wrapText="1"/>
    </xf>
    <xf numFmtId="165" fontId="5" fillId="2" borderId="9" xfId="0" applyNumberFormat="1" applyFont="1" applyFill="1" applyBorder="1"/>
    <xf numFmtId="4" fontId="10" fillId="2" borderId="6" xfId="0" applyNumberFormat="1" applyFont="1" applyFill="1" applyBorder="1" applyAlignment="1"/>
    <xf numFmtId="0" fontId="0" fillId="2" borderId="0" xfId="0" applyFill="1"/>
    <xf numFmtId="4" fontId="10" fillId="2" borderId="10" xfId="0" applyNumberFormat="1" applyFont="1" applyFill="1" applyBorder="1" applyAlignment="1"/>
    <xf numFmtId="0" fontId="5" fillId="2" borderId="8" xfId="0" applyFont="1" applyFill="1" applyBorder="1" applyAlignment="1">
      <alignment vertical="center" wrapText="1"/>
    </xf>
    <xf numFmtId="4" fontId="7" fillId="2" borderId="21" xfId="2" applyNumberFormat="1" applyFont="1" applyFill="1" applyBorder="1" applyAlignment="1">
      <alignment horizontal="right" vertical="top" wrapText="1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left"/>
    </xf>
    <xf numFmtId="49" fontId="5" fillId="2" borderId="30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165" fontId="5" fillId="2" borderId="17" xfId="0" applyNumberFormat="1" applyFont="1" applyFill="1" applyBorder="1"/>
    <xf numFmtId="4" fontId="7" fillId="2" borderId="18" xfId="2" applyNumberFormat="1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166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2" borderId="26" xfId="0" applyFont="1" applyFill="1" applyBorder="1" applyAlignment="1">
      <alignment horizontal="center"/>
    </xf>
    <xf numFmtId="0" fontId="3" fillId="2" borderId="7" xfId="0" applyFont="1" applyFill="1" applyBorder="1"/>
    <xf numFmtId="4" fontId="3" fillId="2" borderId="31" xfId="0" applyNumberFormat="1" applyFont="1" applyFill="1" applyBorder="1"/>
    <xf numFmtId="165" fontId="6" fillId="2" borderId="25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4" fontId="11" fillId="2" borderId="0" xfId="2" applyNumberFormat="1" applyFont="1" applyFill="1" applyBorder="1" applyAlignment="1">
      <alignment horizontal="right" vertical="top" wrapText="1"/>
    </xf>
    <xf numFmtId="165" fontId="1" fillId="0" borderId="0" xfId="0" applyNumberFormat="1" applyFont="1" applyAlignment="1"/>
    <xf numFmtId="4" fontId="10" fillId="2" borderId="32" xfId="0" applyNumberFormat="1" applyFont="1" applyFill="1" applyBorder="1"/>
    <xf numFmtId="4" fontId="7" fillId="2" borderId="0" xfId="2" applyNumberFormat="1" applyFont="1" applyFill="1" applyBorder="1" applyAlignment="1">
      <alignment horizontal="right" vertical="top" wrapText="1"/>
    </xf>
    <xf numFmtId="0" fontId="1" fillId="2" borderId="30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4" fontId="1" fillId="2" borderId="33" xfId="0" applyNumberFormat="1" applyFont="1" applyFill="1" applyBorder="1"/>
    <xf numFmtId="2" fontId="10" fillId="2" borderId="32" xfId="0" applyNumberFormat="1" applyFont="1" applyFill="1" applyBorder="1"/>
    <xf numFmtId="2" fontId="7" fillId="2" borderId="34" xfId="2" applyNumberFormat="1" applyFont="1" applyFill="1" applyBorder="1" applyAlignment="1">
      <alignment horizontal="right" vertical="top" wrapText="1"/>
    </xf>
    <xf numFmtId="0" fontId="1" fillId="2" borderId="0" xfId="0" applyFont="1" applyFill="1" applyBorder="1"/>
    <xf numFmtId="0" fontId="3" fillId="2" borderId="7" xfId="0" applyFont="1" applyFill="1" applyBorder="1" applyAlignment="1">
      <alignment wrapText="1"/>
    </xf>
    <xf numFmtId="4" fontId="3" fillId="2" borderId="28" xfId="0" applyNumberFormat="1" applyFont="1" applyFill="1" applyBorder="1"/>
    <xf numFmtId="4" fontId="7" fillId="2" borderId="6" xfId="2" applyNumberFormat="1" applyFont="1" applyFill="1" applyBorder="1" applyAlignment="1">
      <alignment horizontal="right" vertical="top" wrapText="1"/>
    </xf>
    <xf numFmtId="4" fontId="10" fillId="2" borderId="21" xfId="0" applyNumberFormat="1" applyFont="1" applyFill="1" applyBorder="1"/>
    <xf numFmtId="0" fontId="10" fillId="2" borderId="14" xfId="0" applyFont="1" applyFill="1" applyBorder="1"/>
    <xf numFmtId="0" fontId="10" fillId="2" borderId="35" xfId="0" applyFont="1" applyFill="1" applyBorder="1"/>
    <xf numFmtId="165" fontId="3" fillId="2" borderId="31" xfId="0" applyNumberFormat="1" applyFont="1" applyFill="1" applyBorder="1"/>
    <xf numFmtId="0" fontId="3" fillId="2" borderId="31" xfId="0" applyFont="1" applyFill="1" applyBorder="1"/>
    <xf numFmtId="0" fontId="10" fillId="2" borderId="36" xfId="0" applyFont="1" applyFill="1" applyBorder="1"/>
    <xf numFmtId="0" fontId="10" fillId="2" borderId="32" xfId="0" applyFont="1" applyFill="1" applyBorder="1"/>
    <xf numFmtId="0" fontId="10" fillId="2" borderId="33" xfId="0" applyFont="1" applyFill="1" applyBorder="1"/>
    <xf numFmtId="0" fontId="1" fillId="2" borderId="7" xfId="0" applyFont="1" applyFill="1" applyBorder="1" applyAlignment="1">
      <alignment horizontal="center"/>
    </xf>
    <xf numFmtId="0" fontId="3" fillId="2" borderId="37" xfId="0" applyFont="1" applyFill="1" applyBorder="1" applyAlignment="1">
      <alignment wrapText="1"/>
    </xf>
    <xf numFmtId="165" fontId="3" fillId="2" borderId="38" xfId="0" applyNumberFormat="1" applyFont="1" applyFill="1" applyBorder="1"/>
    <xf numFmtId="2" fontId="3" fillId="2" borderId="38" xfId="0" applyNumberFormat="1" applyFont="1" applyFill="1" applyBorder="1"/>
    <xf numFmtId="165" fontId="6" fillId="2" borderId="1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165" fontId="1" fillId="2" borderId="39" xfId="0" applyNumberFormat="1" applyFont="1" applyFill="1" applyBorder="1"/>
    <xf numFmtId="0" fontId="1" fillId="2" borderId="5" xfId="0" applyFont="1" applyFill="1" applyBorder="1"/>
    <xf numFmtId="165" fontId="6" fillId="2" borderId="40" xfId="0" applyNumberFormat="1" applyFont="1" applyFill="1" applyBorder="1" applyAlignment="1">
      <alignment horizontal="center" vertical="center"/>
    </xf>
    <xf numFmtId="0" fontId="10" fillId="2" borderId="5" xfId="0" applyFont="1" applyFill="1" applyBorder="1"/>
    <xf numFmtId="4" fontId="7" fillId="2" borderId="40" xfId="2" applyNumberFormat="1" applyFont="1" applyFill="1" applyBorder="1" applyAlignment="1">
      <alignment horizontal="right" vertical="top" wrapText="1"/>
    </xf>
    <xf numFmtId="49" fontId="1" fillId="2" borderId="8" xfId="0" applyNumberFormat="1" applyFont="1" applyFill="1" applyBorder="1" applyAlignment="1">
      <alignment horizontal="center"/>
    </xf>
    <xf numFmtId="0" fontId="10" fillId="2" borderId="9" xfId="0" applyFont="1" applyFill="1" applyBorder="1"/>
    <xf numFmtId="4" fontId="7" fillId="2" borderId="9" xfId="2" applyNumberFormat="1" applyFont="1" applyFill="1" applyBorder="1" applyAlignment="1">
      <alignment horizontal="right" vertical="top" wrapText="1"/>
    </xf>
    <xf numFmtId="0" fontId="1" fillId="2" borderId="1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/>
    </xf>
    <xf numFmtId="0" fontId="3" fillId="2" borderId="38" xfId="0" applyFont="1" applyFill="1" applyBorder="1"/>
    <xf numFmtId="2" fontId="3" fillId="2" borderId="31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" fontId="3" fillId="2" borderId="43" xfId="0" applyNumberFormat="1" applyFont="1" applyFill="1" applyBorder="1" applyAlignment="1"/>
    <xf numFmtId="4" fontId="7" fillId="2" borderId="44" xfId="2" applyNumberFormat="1" applyFont="1" applyFill="1" applyBorder="1" applyAlignment="1">
      <alignment horizontal="right" vertical="top" wrapText="1"/>
    </xf>
    <xf numFmtId="0" fontId="10" fillId="2" borderId="39" xfId="0" applyFont="1" applyFill="1" applyBorder="1"/>
    <xf numFmtId="4" fontId="7" fillId="2" borderId="39" xfId="2" applyNumberFormat="1" applyFont="1" applyFill="1" applyBorder="1" applyAlignment="1">
      <alignment horizontal="right" vertical="top" wrapText="1"/>
    </xf>
    <xf numFmtId="2" fontId="7" fillId="2" borderId="39" xfId="2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wrapText="1"/>
    </xf>
    <xf numFmtId="165" fontId="3" fillId="2" borderId="18" xfId="0" applyNumberFormat="1" applyFont="1" applyFill="1" applyBorder="1"/>
    <xf numFmtId="43" fontId="1" fillId="2" borderId="0" xfId="0" applyNumberFormat="1" applyFont="1" applyFill="1" applyAlignment="1"/>
    <xf numFmtId="0" fontId="1" fillId="2" borderId="0" xfId="0" applyFont="1" applyFill="1" applyAlignment="1">
      <alignment horizontal="right" wrapText="1"/>
    </xf>
    <xf numFmtId="43" fontId="1" fillId="2" borderId="0" xfId="0" applyNumberFormat="1" applyFont="1" applyFill="1"/>
    <xf numFmtId="165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1" fillId="2" borderId="36" xfId="0" applyFont="1" applyFill="1" applyBorder="1"/>
    <xf numFmtId="0" fontId="1" fillId="6" borderId="0" xfId="0" applyFont="1" applyFill="1" applyAlignment="1"/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/>
    <xf numFmtId="49" fontId="15" fillId="0" borderId="9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36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9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9" fontId="15" fillId="0" borderId="36" xfId="0" applyNumberFormat="1" applyFont="1" applyBorder="1" applyAlignment="1">
      <alignment horizontal="left"/>
    </xf>
    <xf numFmtId="0" fontId="15" fillId="0" borderId="9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/>
    <xf numFmtId="0" fontId="15" fillId="0" borderId="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3" fontId="15" fillId="0" borderId="9" xfId="0" applyNumberFormat="1" applyFont="1" applyBorder="1" applyAlignment="1">
      <alignment horizontal="center"/>
    </xf>
    <xf numFmtId="167" fontId="15" fillId="0" borderId="9" xfId="1" applyNumberFormat="1" applyFont="1" applyBorder="1" applyAlignment="1" applyProtection="1">
      <alignment horizontal="center"/>
    </xf>
    <xf numFmtId="168" fontId="15" fillId="0" borderId="39" xfId="0" applyNumberFormat="1" applyFont="1" applyBorder="1" applyAlignment="1">
      <alignment horizontal="center"/>
    </xf>
    <xf numFmtId="168" fontId="15" fillId="0" borderId="9" xfId="0" applyNumberFormat="1" applyFont="1" applyBorder="1" applyAlignment="1">
      <alignment horizontal="center"/>
    </xf>
    <xf numFmtId="3" fontId="0" fillId="0" borderId="0" xfId="0" applyNumberFormat="1" applyFont="1" applyAlignment="1"/>
    <xf numFmtId="0" fontId="0" fillId="0" borderId="0" xfId="0" applyFont="1" applyAlignment="1"/>
    <xf numFmtId="0" fontId="15" fillId="0" borderId="9" xfId="0" applyFont="1" applyBorder="1" applyAlignment="1">
      <alignment horizontal="left" wrapText="1"/>
    </xf>
    <xf numFmtId="0" fontId="15" fillId="0" borderId="46" xfId="0" applyFont="1" applyBorder="1"/>
    <xf numFmtId="0" fontId="15" fillId="0" borderId="36" xfId="0" applyFont="1" applyBorder="1"/>
    <xf numFmtId="0" fontId="15" fillId="0" borderId="36" xfId="0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4" fillId="0" borderId="0" xfId="0" applyFont="1" applyAlignment="1">
      <alignment horizontal="center"/>
    </xf>
  </cellXfs>
  <cellStyles count="3">
    <cellStyle name="Обычный" xfId="0" builtinId="0"/>
    <cellStyle name="Пояснение" xfId="2" builtinId="5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1001"/>
  <sheetViews>
    <sheetView tabSelected="1" zoomScale="130" zoomScaleNormal="130" zoomScalePageLayoutView="115" workbookViewId="0">
      <selection activeCell="CK11" sqref="CK11"/>
    </sheetView>
  </sheetViews>
  <sheetFormatPr defaultRowHeight="15" x14ac:dyDescent="0.25"/>
  <cols>
    <col min="1" max="17" width="0.7109375" customWidth="1"/>
    <col min="18" max="18" width="0.28515625" customWidth="1"/>
    <col min="19" max="19" width="0.28515625" hidden="1" customWidth="1"/>
    <col min="20" max="20" width="0.7109375" hidden="1" customWidth="1"/>
    <col min="21" max="147" width="0.7109375" customWidth="1"/>
    <col min="148" max="148" width="0.42578125" customWidth="1"/>
    <col min="149" max="149" width="0.42578125" hidden="1" customWidth="1"/>
    <col min="150" max="151" width="0.7109375" hidden="1" customWidth="1"/>
    <col min="152" max="165" width="0.7109375" customWidth="1"/>
    <col min="166" max="166" width="29.85546875" customWidth="1"/>
    <col min="167" max="168" width="0.7109375" hidden="1" customWidth="1"/>
    <col min="169" max="169" width="0.5703125" hidden="1" customWidth="1"/>
    <col min="170" max="176" width="0.7109375" hidden="1" customWidth="1"/>
    <col min="177" max="1025" width="15.140625" customWidth="1"/>
  </cols>
  <sheetData>
    <row r="1" spans="1:177" ht="50.25" customHeight="1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9"/>
      <c r="DQ1" s="139"/>
      <c r="DR1" s="139"/>
      <c r="DS1" s="139"/>
      <c r="DT1" s="139"/>
      <c r="DU1" s="139"/>
      <c r="DV1" s="138"/>
      <c r="DW1" s="139"/>
      <c r="DX1" s="138"/>
      <c r="DY1" s="140" t="s">
        <v>98</v>
      </c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38"/>
      <c r="FL1" s="138"/>
      <c r="FM1" s="138"/>
      <c r="FN1" s="138"/>
      <c r="FO1" s="138"/>
      <c r="FP1" s="138"/>
      <c r="FQ1" s="138"/>
      <c r="FR1" s="138"/>
      <c r="FS1" s="138"/>
      <c r="FT1" s="138"/>
    </row>
    <row r="2" spans="1:177" ht="12.75" customHeight="1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</row>
    <row r="3" spans="1:177" ht="12.75" customHeight="1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2" t="s">
        <v>99</v>
      </c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1"/>
      <c r="FL3" s="141"/>
      <c r="FM3" s="141"/>
      <c r="FN3" s="141"/>
      <c r="FO3" s="141"/>
      <c r="FP3" s="141"/>
      <c r="FQ3" s="141"/>
      <c r="FR3" s="141"/>
      <c r="FS3" s="141"/>
      <c r="FT3" s="141"/>
    </row>
    <row r="4" spans="1:177" ht="12.75" customHeight="1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3" t="s">
        <v>100</v>
      </c>
      <c r="EU4" s="141"/>
      <c r="EV4" s="142" t="s">
        <v>101</v>
      </c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1"/>
      <c r="FL4" s="141"/>
      <c r="FM4" s="141"/>
      <c r="FN4" s="141"/>
      <c r="FO4" s="141"/>
      <c r="FP4" s="141"/>
      <c r="FQ4" s="141"/>
      <c r="FR4" s="141"/>
      <c r="FS4" s="141"/>
      <c r="FT4" s="141"/>
    </row>
    <row r="5" spans="1:177" ht="12.75" customHeight="1" x14ac:dyDescent="0.25">
      <c r="A5" s="144" t="s">
        <v>102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3" t="s">
        <v>103</v>
      </c>
      <c r="EU5" s="141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1"/>
      <c r="FL5" s="141"/>
      <c r="FM5" s="141"/>
      <c r="FN5" s="141"/>
      <c r="FO5" s="141"/>
      <c r="FP5" s="141"/>
      <c r="FQ5" s="141"/>
      <c r="FR5" s="141"/>
      <c r="FS5" s="141"/>
      <c r="FT5" s="141"/>
    </row>
    <row r="6" spans="1:177" ht="11.25" customHeight="1" x14ac:dyDescent="0.25">
      <c r="A6" s="145" t="s">
        <v>104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</row>
    <row r="7" spans="1:177" ht="12.7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</row>
    <row r="8" spans="1:177" ht="13.5" customHeigh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6" t="s">
        <v>105</v>
      </c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 t="s">
        <v>106</v>
      </c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</row>
    <row r="9" spans="1:177" ht="15" customHeight="1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7" t="s">
        <v>107</v>
      </c>
      <c r="BP9" s="141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1"/>
      <c r="DB9" s="141"/>
      <c r="DC9" s="141"/>
      <c r="DD9" s="141"/>
      <c r="DE9" s="141" t="s">
        <v>108</v>
      </c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</row>
    <row r="10" spans="1:177" ht="12.75" customHeight="1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 t="s">
        <v>109</v>
      </c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9"/>
      <c r="EF10" s="149"/>
      <c r="EG10" s="149"/>
      <c r="EH10" s="141" t="s">
        <v>110</v>
      </c>
      <c r="EI10" s="141"/>
      <c r="EJ10" s="144"/>
      <c r="EK10" s="144"/>
      <c r="EL10" s="144"/>
      <c r="EM10" s="144"/>
      <c r="EN10" s="144"/>
      <c r="EO10" s="144"/>
      <c r="EP10" s="144"/>
      <c r="EQ10" s="144"/>
      <c r="ER10" s="144"/>
      <c r="ES10" s="150">
        <v>20</v>
      </c>
      <c r="ET10" s="150"/>
      <c r="EU10" s="150"/>
      <c r="EV10" s="150"/>
      <c r="EW10" s="151"/>
      <c r="EX10" s="151"/>
      <c r="EY10" s="151"/>
      <c r="EZ10" s="141"/>
      <c r="FA10" s="141" t="s">
        <v>111</v>
      </c>
      <c r="FB10" s="141"/>
      <c r="FC10" s="141"/>
      <c r="FD10" s="141"/>
      <c r="FE10" s="141"/>
      <c r="FF10" s="149"/>
      <c r="FG10" s="149"/>
      <c r="FH10" s="149"/>
      <c r="FI10" s="149"/>
      <c r="FJ10" s="149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</row>
    <row r="11" spans="1:177" ht="12.75" customHeight="1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3" t="s">
        <v>112</v>
      </c>
      <c r="AI11" s="141"/>
      <c r="AJ11" s="144" t="s">
        <v>113</v>
      </c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1"/>
      <c r="AW11" s="141" t="s">
        <v>114</v>
      </c>
      <c r="AX11" s="141"/>
      <c r="AY11" s="141"/>
      <c r="AZ11" s="149" t="s">
        <v>115</v>
      </c>
      <c r="BA11" s="149"/>
      <c r="BB11" s="149"/>
      <c r="BC11" s="141" t="s">
        <v>110</v>
      </c>
      <c r="BD11" s="141"/>
      <c r="BE11" s="144" t="s">
        <v>116</v>
      </c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50">
        <v>20</v>
      </c>
      <c r="BR11" s="150"/>
      <c r="BS11" s="150"/>
      <c r="BT11" s="150"/>
      <c r="BU11" s="151" t="s">
        <v>117</v>
      </c>
      <c r="BV11" s="151"/>
      <c r="BW11" s="151"/>
      <c r="BX11" s="141"/>
      <c r="BY11" s="141" t="s">
        <v>118</v>
      </c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 t="s">
        <v>119</v>
      </c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4">
        <f>SUM(BI16:BW24)</f>
        <v>15.5</v>
      </c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1"/>
      <c r="FD11" s="141"/>
      <c r="FE11" s="141"/>
      <c r="FF11" s="141"/>
      <c r="FG11" s="141"/>
      <c r="FH11" s="141"/>
      <c r="FI11" s="141"/>
      <c r="FJ11" s="143" t="s">
        <v>120</v>
      </c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</row>
    <row r="12" spans="1:177" ht="12.75" customHeight="1" x14ac:dyDescent="0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</row>
    <row r="13" spans="1:177" ht="12.75" customHeight="1" x14ac:dyDescent="0.25">
      <c r="A13" s="152" t="s">
        <v>121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 t="s">
        <v>122</v>
      </c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 t="s">
        <v>123</v>
      </c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 t="s">
        <v>124</v>
      </c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 t="s">
        <v>125</v>
      </c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3" t="s">
        <v>126</v>
      </c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4" t="s">
        <v>127</v>
      </c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</row>
    <row r="14" spans="1:177" ht="43.5" customHeight="1" x14ac:dyDescent="0.25">
      <c r="A14" s="156" t="s">
        <v>128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4" t="s">
        <v>129</v>
      </c>
      <c r="V14" s="154"/>
      <c r="W14" s="154"/>
      <c r="X14" s="154"/>
      <c r="Y14" s="154"/>
      <c r="Z14" s="154"/>
      <c r="AA14" s="154"/>
      <c r="AB14" s="154"/>
      <c r="AC14" s="154"/>
      <c r="AD14" s="154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4" t="s">
        <v>130</v>
      </c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 t="s">
        <v>131</v>
      </c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2" t="s">
        <v>132</v>
      </c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</row>
    <row r="15" spans="1:177" ht="12.75" customHeight="1" x14ac:dyDescent="0.25">
      <c r="A15" s="146">
        <v>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>
        <v>2</v>
      </c>
      <c r="V15" s="146"/>
      <c r="W15" s="146"/>
      <c r="X15" s="146"/>
      <c r="Y15" s="146"/>
      <c r="Z15" s="146"/>
      <c r="AA15" s="146"/>
      <c r="AB15" s="146"/>
      <c r="AC15" s="146"/>
      <c r="AD15" s="146"/>
      <c r="AE15" s="146">
        <v>3</v>
      </c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>
        <v>4</v>
      </c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>
        <v>5</v>
      </c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>
        <v>6</v>
      </c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>
        <v>7</v>
      </c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>
        <v>8</v>
      </c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57">
        <v>9</v>
      </c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46">
        <v>10</v>
      </c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</row>
    <row r="16" spans="1:177" ht="12.75" customHeight="1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58" t="s">
        <v>133</v>
      </c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46">
        <v>1</v>
      </c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59">
        <v>40000</v>
      </c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60">
        <f t="shared" ref="DI16:DI24" si="0">BX16*0.15</f>
        <v>6000</v>
      </c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1">
        <v>46000</v>
      </c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2">
        <f>SUM(DT16*12)</f>
        <v>552000</v>
      </c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3"/>
    </row>
    <row r="17" spans="1:177" s="164" customFormat="1" ht="12.75" customHeight="1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58" t="s">
        <v>80</v>
      </c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46">
        <v>1</v>
      </c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59">
        <v>35000</v>
      </c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60">
        <f t="shared" si="0"/>
        <v>5250</v>
      </c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1">
        <v>40250</v>
      </c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2">
        <f>SUM(DT17*12)</f>
        <v>483000</v>
      </c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3"/>
    </row>
    <row r="18" spans="1:177" ht="12.75" customHeight="1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58" t="s">
        <v>134</v>
      </c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46">
        <v>1</v>
      </c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59">
        <v>30000</v>
      </c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60">
        <f t="shared" si="0"/>
        <v>4500</v>
      </c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1">
        <v>34500</v>
      </c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2">
        <f>SUM(DT18*12)</f>
        <v>414000</v>
      </c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3"/>
    </row>
    <row r="19" spans="1:177" ht="12.75" customHeight="1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58" t="s">
        <v>135</v>
      </c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46">
        <v>2</v>
      </c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59">
        <v>15000</v>
      </c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60">
        <f t="shared" si="0"/>
        <v>2250</v>
      </c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1">
        <v>17250</v>
      </c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2">
        <v>414000</v>
      </c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3"/>
    </row>
    <row r="20" spans="1:177" s="164" customFormat="1" ht="12.75" customHeight="1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58" t="s">
        <v>136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46">
        <v>1</v>
      </c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59">
        <v>12000</v>
      </c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60">
        <f t="shared" si="0"/>
        <v>1800</v>
      </c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1">
        <v>13800</v>
      </c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2">
        <f>SUM(DT20*12)</f>
        <v>165600</v>
      </c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3"/>
    </row>
    <row r="21" spans="1:177" ht="12.75" customHeight="1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58" t="s">
        <v>137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46">
        <v>2</v>
      </c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59">
        <v>24000</v>
      </c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60">
        <f t="shared" si="0"/>
        <v>3600</v>
      </c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1">
        <v>27600</v>
      </c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2">
        <v>662400</v>
      </c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</row>
    <row r="22" spans="1:177" ht="12.75" customHeight="1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65"/>
      <c r="T22" s="165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58" t="s">
        <v>138</v>
      </c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46">
        <v>3</v>
      </c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59">
        <v>16000</v>
      </c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60">
        <f t="shared" si="0"/>
        <v>2400</v>
      </c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1">
        <v>18400</v>
      </c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2">
        <v>662400</v>
      </c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</row>
    <row r="23" spans="1:177" ht="12.75" customHeight="1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5"/>
      <c r="T23" s="165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58" t="s">
        <v>139</v>
      </c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46">
        <v>4</v>
      </c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59">
        <v>16000</v>
      </c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60">
        <f t="shared" si="0"/>
        <v>2400</v>
      </c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1">
        <v>18400</v>
      </c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2">
        <v>883200</v>
      </c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</row>
    <row r="24" spans="1:177" ht="12.75" customHeight="1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65"/>
      <c r="T24" s="165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58" t="s">
        <v>81</v>
      </c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46">
        <v>0.5</v>
      </c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59">
        <v>20000</v>
      </c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60">
        <f t="shared" si="0"/>
        <v>3000</v>
      </c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1">
        <v>23000</v>
      </c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2">
        <v>138000</v>
      </c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</row>
    <row r="25" spans="1:177" ht="12.75" customHeight="1" x14ac:dyDescent="0.25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8" t="s">
        <v>140</v>
      </c>
      <c r="BH25" s="167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59">
        <v>208000</v>
      </c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1">
        <f>SUM(DT16:EU24)</f>
        <v>239200</v>
      </c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2">
        <f>SUM(EV16:FS24)</f>
        <v>4374600</v>
      </c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</row>
    <row r="26" spans="1:177" ht="12.75" customHeight="1" x14ac:dyDescent="0.25">
      <c r="A26" s="169" t="s">
        <v>141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63"/>
    </row>
    <row r="27" spans="1:177" ht="12.75" customHeight="1" x14ac:dyDescent="0.25">
      <c r="A27" s="170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41"/>
      <c r="AF27" s="141"/>
      <c r="AG27" s="141"/>
      <c r="AH27" s="141"/>
      <c r="AI27" s="141"/>
      <c r="AJ27" s="144" t="s">
        <v>96</v>
      </c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1"/>
      <c r="CB27" s="141"/>
      <c r="CC27" s="141"/>
      <c r="CD27" s="141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1"/>
      <c r="DB27" s="141"/>
      <c r="DC27" s="141"/>
      <c r="DD27" s="141"/>
      <c r="DE27" s="144" t="s">
        <v>97</v>
      </c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</row>
    <row r="28" spans="1:177" ht="12.75" customHeight="1" x14ac:dyDescent="0.25">
      <c r="A28" s="169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38"/>
      <c r="AF28" s="138"/>
      <c r="AG28" s="138"/>
      <c r="AH28" s="138"/>
      <c r="AI28" s="138"/>
      <c r="AJ28" s="145" t="s">
        <v>142</v>
      </c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71"/>
      <c r="CB28" s="171"/>
      <c r="CC28" s="171"/>
      <c r="CD28" s="171"/>
      <c r="CE28" s="145" t="s">
        <v>143</v>
      </c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38"/>
      <c r="DB28" s="138"/>
      <c r="DC28" s="138"/>
      <c r="DD28" s="138"/>
      <c r="DE28" s="145" t="s">
        <v>144</v>
      </c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</row>
    <row r="29" spans="1:177" ht="12.75" customHeight="1" x14ac:dyDescent="0.25">
      <c r="A29" s="169" t="s">
        <v>145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</row>
    <row r="30" spans="1:177" ht="12.75" customHeight="1" x14ac:dyDescent="0.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41"/>
      <c r="AF30" s="141"/>
      <c r="AG30" s="141"/>
      <c r="AH30" s="141"/>
      <c r="AI30" s="141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1"/>
      <c r="BG30" s="141"/>
      <c r="BH30" s="141"/>
      <c r="BI30" s="141"/>
      <c r="BJ30" s="144" t="s">
        <v>146</v>
      </c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</row>
    <row r="31" spans="1:177" ht="12.75" customHeight="1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38"/>
      <c r="AF31" s="138"/>
      <c r="AG31" s="138"/>
      <c r="AH31" s="138"/>
      <c r="AI31" s="138"/>
      <c r="AJ31" s="145" t="s">
        <v>143</v>
      </c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38"/>
      <c r="BG31" s="138"/>
      <c r="BH31" s="138"/>
      <c r="BI31" s="138"/>
      <c r="BJ31" s="145" t="s">
        <v>144</v>
      </c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</row>
    <row r="32" spans="1:177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</sheetData>
  <mergeCells count="150">
    <mergeCell ref="AJ30:BE30"/>
    <mergeCell ref="BJ30:CZ30"/>
    <mergeCell ref="AJ31:BE31"/>
    <mergeCell ref="BJ31:CZ31"/>
    <mergeCell ref="EV25:FT25"/>
    <mergeCell ref="AJ27:BZ27"/>
    <mergeCell ref="CE27:CZ27"/>
    <mergeCell ref="DE27:EU27"/>
    <mergeCell ref="AJ28:BZ28"/>
    <mergeCell ref="CE28:CZ28"/>
    <mergeCell ref="DE28:EU28"/>
    <mergeCell ref="CX24:DH24"/>
    <mergeCell ref="DI24:DS24"/>
    <mergeCell ref="DT24:EU24"/>
    <mergeCell ref="EV24:FT24"/>
    <mergeCell ref="BI25:BW25"/>
    <mergeCell ref="BX25:CL25"/>
    <mergeCell ref="CM25:CW25"/>
    <mergeCell ref="CX25:DH25"/>
    <mergeCell ref="DI25:DS25"/>
    <mergeCell ref="DT25:EU25"/>
    <mergeCell ref="CX23:DH23"/>
    <mergeCell ref="DI23:DS23"/>
    <mergeCell ref="DT23:EU23"/>
    <mergeCell ref="EV23:FT23"/>
    <mergeCell ref="A24:R24"/>
    <mergeCell ref="U24:AD24"/>
    <mergeCell ref="AE24:BH24"/>
    <mergeCell ref="BI24:BW24"/>
    <mergeCell ref="BX24:CL24"/>
    <mergeCell ref="CM24:CW24"/>
    <mergeCell ref="CX22:DH22"/>
    <mergeCell ref="DI22:DS22"/>
    <mergeCell ref="DT22:EU22"/>
    <mergeCell ref="EV22:FT22"/>
    <mergeCell ref="A23:R23"/>
    <mergeCell ref="U23:AD23"/>
    <mergeCell ref="AE23:BH23"/>
    <mergeCell ref="BI23:BW23"/>
    <mergeCell ref="BX23:CL23"/>
    <mergeCell ref="CM23:CW23"/>
    <mergeCell ref="CX21:DH21"/>
    <mergeCell ref="DI21:DS21"/>
    <mergeCell ref="DT21:EU21"/>
    <mergeCell ref="EV21:FT21"/>
    <mergeCell ref="A22:R22"/>
    <mergeCell ref="U22:AD22"/>
    <mergeCell ref="AE22:BH22"/>
    <mergeCell ref="BI22:BW22"/>
    <mergeCell ref="BX22:CL22"/>
    <mergeCell ref="CM22:CW22"/>
    <mergeCell ref="CX20:DH20"/>
    <mergeCell ref="DI20:DS20"/>
    <mergeCell ref="DT20:EU20"/>
    <mergeCell ref="EV20:FT20"/>
    <mergeCell ref="A21:T21"/>
    <mergeCell ref="U21:AD21"/>
    <mergeCell ref="AE21:BH21"/>
    <mergeCell ref="BI21:BW21"/>
    <mergeCell ref="BX21:CL21"/>
    <mergeCell ref="CM21:CW21"/>
    <mergeCell ref="CX19:DH19"/>
    <mergeCell ref="DI19:DS19"/>
    <mergeCell ref="DT19:EU19"/>
    <mergeCell ref="EV19:FT19"/>
    <mergeCell ref="A20:T20"/>
    <mergeCell ref="U20:AD20"/>
    <mergeCell ref="AE20:BH20"/>
    <mergeCell ref="BI20:BW20"/>
    <mergeCell ref="BX20:CL20"/>
    <mergeCell ref="CM20:CW20"/>
    <mergeCell ref="CX18:DH18"/>
    <mergeCell ref="DI18:DS18"/>
    <mergeCell ref="DT18:EU18"/>
    <mergeCell ref="EV18:FT18"/>
    <mergeCell ref="A19:T19"/>
    <mergeCell ref="U19:AD19"/>
    <mergeCell ref="AE19:BH19"/>
    <mergeCell ref="BI19:BW19"/>
    <mergeCell ref="BX19:CL19"/>
    <mergeCell ref="CM19:CW19"/>
    <mergeCell ref="CX17:DH17"/>
    <mergeCell ref="DI17:DS17"/>
    <mergeCell ref="DT17:EU17"/>
    <mergeCell ref="EV17:FT17"/>
    <mergeCell ref="A18:T18"/>
    <mergeCell ref="U18:AD18"/>
    <mergeCell ref="AE18:BH18"/>
    <mergeCell ref="BI18:BW18"/>
    <mergeCell ref="BX18:CL18"/>
    <mergeCell ref="CM18:CW18"/>
    <mergeCell ref="CX16:DH16"/>
    <mergeCell ref="DI16:DS16"/>
    <mergeCell ref="DT16:EU16"/>
    <mergeCell ref="EV16:FT16"/>
    <mergeCell ref="A17:T17"/>
    <mergeCell ref="U17:AD17"/>
    <mergeCell ref="AE17:BH17"/>
    <mergeCell ref="BI17:BW17"/>
    <mergeCell ref="BX17:CL17"/>
    <mergeCell ref="CM17:CW17"/>
    <mergeCell ref="CX15:DH15"/>
    <mergeCell ref="DI15:DS15"/>
    <mergeCell ref="DT15:EU15"/>
    <mergeCell ref="EV15:FJ15"/>
    <mergeCell ref="A16:T16"/>
    <mergeCell ref="U16:AD16"/>
    <mergeCell ref="AE16:BH16"/>
    <mergeCell ref="BI16:BW16"/>
    <mergeCell ref="BX16:CL16"/>
    <mergeCell ref="CM16:CW16"/>
    <mergeCell ref="A15:T15"/>
    <mergeCell ref="U15:AD15"/>
    <mergeCell ref="AE15:BH15"/>
    <mergeCell ref="BI15:BW15"/>
    <mergeCell ref="BX15:CL15"/>
    <mergeCell ref="CM15:CW15"/>
    <mergeCell ref="EV13:FJ14"/>
    <mergeCell ref="A14:T14"/>
    <mergeCell ref="U14:AD14"/>
    <mergeCell ref="CM14:CW14"/>
    <mergeCell ref="CX14:DH14"/>
    <mergeCell ref="DI14:DS14"/>
    <mergeCell ref="A13:AD13"/>
    <mergeCell ref="AE13:BH14"/>
    <mergeCell ref="BI13:BW14"/>
    <mergeCell ref="BX13:CL14"/>
    <mergeCell ref="CM13:DS13"/>
    <mergeCell ref="DT13:EU14"/>
    <mergeCell ref="ES10:EV10"/>
    <mergeCell ref="EW10:EY10"/>
    <mergeCell ref="FF10:FJ10"/>
    <mergeCell ref="AJ11:AU11"/>
    <mergeCell ref="AZ11:BB11"/>
    <mergeCell ref="BE11:BP11"/>
    <mergeCell ref="BQ11:BT11"/>
    <mergeCell ref="BU11:BW11"/>
    <mergeCell ref="DX11:FB11"/>
    <mergeCell ref="BQ8:CH8"/>
    <mergeCell ref="CI8:CZ8"/>
    <mergeCell ref="BQ9:CH9"/>
    <mergeCell ref="CI9:CZ9"/>
    <mergeCell ref="EE10:EG10"/>
    <mergeCell ref="EJ10:ER10"/>
    <mergeCell ref="DY1:FJ1"/>
    <mergeCell ref="EV3:FJ3"/>
    <mergeCell ref="EV4:FJ4"/>
    <mergeCell ref="A5:EI5"/>
    <mergeCell ref="EV5:FJ5"/>
    <mergeCell ref="A6:EI6"/>
  </mergeCells>
  <pageMargins left="0.70833333333333304" right="0.70833333333333304" top="0.74791666666666701" bottom="0.74791666666666701" header="0.51180555555555496" footer="0.51180555555555496"/>
  <pageSetup paperSize="9" scale="8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7375E"/>
  </sheetPr>
  <dimension ref="A1:ALR116"/>
  <sheetViews>
    <sheetView view="pageBreakPreview" topLeftCell="A83" zoomScaleNormal="85" zoomScaleSheetLayoutView="100" zoomScalePageLayoutView="85" workbookViewId="0">
      <pane xSplit="2" topLeftCell="C1" activePane="topRight" state="frozen"/>
      <selection activeCell="A43" sqref="A43"/>
      <selection pane="topRight" activeCell="H17" sqref="H17"/>
    </sheetView>
  </sheetViews>
  <sheetFormatPr defaultRowHeight="15" x14ac:dyDescent="0.25"/>
  <cols>
    <col min="1" max="1" width="10.7109375" style="1" hidden="1" customWidth="1"/>
    <col min="2" max="2" width="89.140625" style="1" customWidth="1"/>
    <col min="3" max="3" width="36.7109375" style="1" customWidth="1"/>
    <col min="4" max="4" width="20.7109375" style="137" customWidth="1"/>
    <col min="5" max="5" width="24.5703125" style="1" customWidth="1"/>
    <col min="6" max="6" width="21.85546875" style="1" hidden="1" customWidth="1"/>
    <col min="7" max="7" width="7.5703125" style="1" customWidth="1"/>
    <col min="8" max="8" width="34.42578125" style="1" customWidth="1"/>
    <col min="9" max="9" width="7.5703125" style="1" customWidth="1"/>
    <col min="10" max="1006" width="15.140625" style="1" customWidth="1"/>
  </cols>
  <sheetData>
    <row r="1" spans="1:1006" ht="15" customHeight="1" x14ac:dyDescent="0.25">
      <c r="B1" s="2"/>
      <c r="C1" s="3" t="s">
        <v>0</v>
      </c>
      <c r="D1" s="3"/>
    </row>
    <row r="2" spans="1:1006" ht="15" customHeight="1" x14ac:dyDescent="0.25">
      <c r="B2" s="2"/>
      <c r="C2" s="4" t="s">
        <v>1</v>
      </c>
      <c r="D2" s="4"/>
    </row>
    <row r="3" spans="1:1006" ht="15" customHeight="1" x14ac:dyDescent="0.25">
      <c r="B3" s="2"/>
      <c r="C3" s="3" t="s">
        <v>2</v>
      </c>
      <c r="D3" s="3"/>
    </row>
    <row r="4" spans="1:1006" ht="15" customHeight="1" x14ac:dyDescent="0.25">
      <c r="B4" s="2"/>
      <c r="C4" s="3" t="s">
        <v>3</v>
      </c>
      <c r="D4" s="3"/>
    </row>
    <row r="5" spans="1:1006" x14ac:dyDescent="0.25">
      <c r="B5" s="2"/>
      <c r="C5" s="2"/>
      <c r="D5" s="5"/>
      <c r="E5" s="6"/>
    </row>
    <row r="6" spans="1:1006" ht="18.75" x14ac:dyDescent="0.3">
      <c r="B6" s="2"/>
      <c r="C6" s="7" t="s">
        <v>4</v>
      </c>
      <c r="D6" s="8">
        <v>24.97</v>
      </c>
    </row>
    <row r="7" spans="1:1006" ht="15.75" customHeight="1" thickBot="1" x14ac:dyDescent="0.3">
      <c r="A7" s="2" t="s">
        <v>5</v>
      </c>
      <c r="B7" s="2"/>
      <c r="C7" s="2" t="s">
        <v>6</v>
      </c>
      <c r="D7" s="6">
        <v>26016.5</v>
      </c>
      <c r="E7" s="1">
        <f>D6*D7*12</f>
        <v>7795584.0600000005</v>
      </c>
    </row>
    <row r="8" spans="1:1006" ht="52.5" customHeight="1" thickBot="1" x14ac:dyDescent="0.3">
      <c r="A8" s="9" t="s">
        <v>7</v>
      </c>
      <c r="B8" s="10" t="s">
        <v>8</v>
      </c>
      <c r="C8" s="10" t="s">
        <v>9</v>
      </c>
      <c r="D8" s="11" t="s">
        <v>10</v>
      </c>
      <c r="E8" s="10" t="s">
        <v>11</v>
      </c>
    </row>
    <row r="9" spans="1:1006" x14ac:dyDescent="0.25">
      <c r="A9" s="12">
        <v>1</v>
      </c>
      <c r="B9" s="13" t="s">
        <v>12</v>
      </c>
      <c r="C9" s="14">
        <f>D9/12</f>
        <v>649632.005</v>
      </c>
      <c r="D9" s="15">
        <f>D6*D7*12</f>
        <v>7795584.0600000005</v>
      </c>
      <c r="E9" s="16">
        <v>30.2</v>
      </c>
    </row>
    <row r="10" spans="1:1006" x14ac:dyDescent="0.25">
      <c r="A10" s="17">
        <v>2</v>
      </c>
      <c r="B10" s="18" t="s">
        <v>13</v>
      </c>
      <c r="C10" s="19">
        <f>D10/12</f>
        <v>14968.75</v>
      </c>
      <c r="D10" s="20">
        <v>179625</v>
      </c>
      <c r="E10" s="21"/>
    </row>
    <row r="11" spans="1:1006" x14ac:dyDescent="0.25">
      <c r="A11" s="17">
        <v>3</v>
      </c>
      <c r="B11" s="18" t="s">
        <v>14</v>
      </c>
      <c r="C11" s="19">
        <f t="shared" ref="C11:C18" si="0">D11/12</f>
        <v>74783.75</v>
      </c>
      <c r="D11" s="20">
        <f>171200+32400+693805</f>
        <v>897405</v>
      </c>
      <c r="E11" s="21"/>
    </row>
    <row r="12" spans="1:1006" x14ac:dyDescent="0.25">
      <c r="A12" s="22">
        <v>4</v>
      </c>
      <c r="B12" s="23" t="s">
        <v>15</v>
      </c>
      <c r="C12" s="19">
        <f t="shared" si="0"/>
        <v>1000</v>
      </c>
      <c r="D12" s="24">
        <v>12000</v>
      </c>
      <c r="E12" s="21"/>
    </row>
    <row r="13" spans="1:1006" s="28" customFormat="1" x14ac:dyDescent="0.25">
      <c r="A13" s="25">
        <v>5</v>
      </c>
      <c r="B13" s="26" t="s">
        <v>16</v>
      </c>
      <c r="C13" s="19">
        <f t="shared" si="0"/>
        <v>300</v>
      </c>
      <c r="D13" s="24">
        <v>3600</v>
      </c>
      <c r="E13" s="2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</row>
    <row r="14" spans="1:1006" x14ac:dyDescent="0.25">
      <c r="A14" s="22">
        <v>6</v>
      </c>
      <c r="B14" s="23" t="s">
        <v>17</v>
      </c>
      <c r="C14" s="19">
        <f t="shared" si="0"/>
        <v>2036.25</v>
      </c>
      <c r="D14" s="24">
        <v>24435</v>
      </c>
      <c r="E14" s="21"/>
    </row>
    <row r="15" spans="1:1006" ht="30" x14ac:dyDescent="0.25">
      <c r="A15" s="22">
        <v>7</v>
      </c>
      <c r="B15" s="26" t="s">
        <v>18</v>
      </c>
      <c r="C15" s="19">
        <f t="shared" si="0"/>
        <v>4187.916666666667</v>
      </c>
      <c r="D15" s="24">
        <v>50255</v>
      </c>
      <c r="E15" s="21"/>
    </row>
    <row r="16" spans="1:1006" x14ac:dyDescent="0.25">
      <c r="A16" s="22">
        <v>8</v>
      </c>
      <c r="B16" s="23" t="s">
        <v>19</v>
      </c>
      <c r="C16" s="19">
        <f t="shared" si="0"/>
        <v>2450</v>
      </c>
      <c r="D16" s="24">
        <v>29400</v>
      </c>
      <c r="E16" s="21"/>
    </row>
    <row r="17" spans="1:1006" x14ac:dyDescent="0.25">
      <c r="A17" s="22">
        <v>9</v>
      </c>
      <c r="B17" s="23" t="s">
        <v>20</v>
      </c>
      <c r="C17" s="19">
        <f t="shared" si="0"/>
        <v>6000</v>
      </c>
      <c r="D17" s="29">
        <f>72000</f>
        <v>72000</v>
      </c>
      <c r="E17" s="21"/>
    </row>
    <row r="18" spans="1:1006" ht="15.75" customHeight="1" x14ac:dyDescent="0.25">
      <c r="A18" s="22">
        <v>10</v>
      </c>
      <c r="B18" s="23" t="s">
        <v>21</v>
      </c>
      <c r="C18" s="19">
        <f t="shared" si="0"/>
        <v>30245.575833333332</v>
      </c>
      <c r="D18" s="29">
        <f>362946.91</f>
        <v>362946.91</v>
      </c>
      <c r="E18" s="21"/>
    </row>
    <row r="19" spans="1:1006" ht="15.75" thickBot="1" x14ac:dyDescent="0.3">
      <c r="A19" s="30"/>
      <c r="B19" s="31" t="s">
        <v>22</v>
      </c>
      <c r="C19" s="32">
        <f>D19/12</f>
        <v>785604.24750000006</v>
      </c>
      <c r="D19" s="33">
        <f>D9+D10+D11+D12+D13+D14+D15+D16+D17+D18</f>
        <v>9427250.9700000007</v>
      </c>
      <c r="E19" s="34"/>
    </row>
    <row r="20" spans="1:1006" ht="15.75" customHeight="1" x14ac:dyDescent="0.25">
      <c r="A20" s="35"/>
      <c r="B20" s="36"/>
      <c r="C20" s="36"/>
      <c r="D20" s="37"/>
      <c r="E20" s="36"/>
    </row>
    <row r="21" spans="1:1006" ht="41.25" customHeight="1" thickBot="1" x14ac:dyDescent="0.3">
      <c r="A21" s="38" t="s">
        <v>23</v>
      </c>
      <c r="B21" s="36"/>
      <c r="C21" s="36"/>
      <c r="D21" s="39">
        <f>D23+D34+D42+D47+D55+D60+D73+D77</f>
        <v>9427250.9749999996</v>
      </c>
      <c r="E21" s="36"/>
    </row>
    <row r="22" spans="1:1006" ht="15.75" thickBot="1" x14ac:dyDescent="0.3">
      <c r="A22" s="40" t="s">
        <v>7</v>
      </c>
      <c r="B22" s="41" t="s">
        <v>8</v>
      </c>
      <c r="C22" s="42" t="s">
        <v>9</v>
      </c>
      <c r="D22" s="11"/>
      <c r="E22" s="43" t="s">
        <v>24</v>
      </c>
    </row>
    <row r="23" spans="1:1006" ht="15.75" thickBot="1" x14ac:dyDescent="0.3">
      <c r="A23" s="44">
        <v>1</v>
      </c>
      <c r="B23" s="45" t="s">
        <v>25</v>
      </c>
      <c r="C23" s="46">
        <f>SUM(C24:C32)</f>
        <v>212813.66999999998</v>
      </c>
      <c r="D23" s="46">
        <f>SUM(D24:D32)</f>
        <v>2553764.04</v>
      </c>
      <c r="E23" s="47">
        <f>D23/D7/12</f>
        <v>8.1799500317106446</v>
      </c>
    </row>
    <row r="24" spans="1:1006" s="52" customFormat="1" ht="16.5" customHeight="1" thickBot="1" x14ac:dyDescent="0.3">
      <c r="A24" s="48" t="s">
        <v>26</v>
      </c>
      <c r="B24" s="49" t="s">
        <v>27</v>
      </c>
      <c r="C24" s="50">
        <f t="shared" ref="C24:C32" si="1">D24/12</f>
        <v>155208.00583333333</v>
      </c>
      <c r="D24" s="51">
        <f>92000+1770496.07</f>
        <v>1862496.07</v>
      </c>
      <c r="E24" s="4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</row>
    <row r="25" spans="1:1006" ht="15.75" thickBot="1" x14ac:dyDescent="0.3">
      <c r="A25" s="48" t="s">
        <v>28</v>
      </c>
      <c r="B25" s="49" t="s">
        <v>29</v>
      </c>
      <c r="C25" s="50">
        <f t="shared" si="1"/>
        <v>42261.307500000003</v>
      </c>
      <c r="D25" s="53">
        <f>27784+479351.69</f>
        <v>507135.69</v>
      </c>
      <c r="E25" s="47"/>
    </row>
    <row r="26" spans="1:1006" ht="30.75" thickBot="1" x14ac:dyDescent="0.3">
      <c r="A26" s="48" t="s">
        <v>30</v>
      </c>
      <c r="B26" s="54" t="s">
        <v>31</v>
      </c>
      <c r="C26" s="50">
        <f t="shared" si="1"/>
        <v>4166.666666666667</v>
      </c>
      <c r="D26" s="55">
        <v>50000</v>
      </c>
      <c r="E26" s="47"/>
    </row>
    <row r="27" spans="1:1006" ht="15" customHeight="1" thickBot="1" x14ac:dyDescent="0.3">
      <c r="A27" s="48" t="s">
        <v>32</v>
      </c>
      <c r="B27" s="49" t="s">
        <v>33</v>
      </c>
      <c r="C27" s="50">
        <f t="shared" si="1"/>
        <v>833.33333333333337</v>
      </c>
      <c r="D27" s="53">
        <v>10000</v>
      </c>
      <c r="E27" s="47"/>
    </row>
    <row r="28" spans="1:1006" ht="15.75" thickBot="1" x14ac:dyDescent="0.3">
      <c r="A28" s="48" t="s">
        <v>34</v>
      </c>
      <c r="B28" s="56" t="s">
        <v>35</v>
      </c>
      <c r="C28" s="50">
        <f t="shared" si="1"/>
        <v>858.02333333333343</v>
      </c>
      <c r="D28" s="53">
        <v>10296.280000000001</v>
      </c>
      <c r="E28" s="47"/>
    </row>
    <row r="29" spans="1:1006" ht="15" customHeight="1" thickBot="1" x14ac:dyDescent="0.3">
      <c r="A29" s="48" t="s">
        <v>36</v>
      </c>
      <c r="B29" s="57" t="s">
        <v>37</v>
      </c>
      <c r="C29" s="50">
        <f t="shared" si="1"/>
        <v>903</v>
      </c>
      <c r="D29" s="29">
        <v>10836</v>
      </c>
      <c r="E29" s="47"/>
    </row>
    <row r="30" spans="1:1006" ht="15.75" thickBot="1" x14ac:dyDescent="0.3">
      <c r="A30" s="48" t="s">
        <v>38</v>
      </c>
      <c r="B30" s="49" t="s">
        <v>39</v>
      </c>
      <c r="C30" s="50">
        <f t="shared" si="1"/>
        <v>6666.666666666667</v>
      </c>
      <c r="D30" s="55">
        <v>80000</v>
      </c>
      <c r="E30" s="47"/>
    </row>
    <row r="31" spans="1:1006" ht="15.75" customHeight="1" thickBot="1" x14ac:dyDescent="0.3">
      <c r="A31" s="48" t="s">
        <v>40</v>
      </c>
      <c r="B31" s="49" t="s">
        <v>41</v>
      </c>
      <c r="C31" s="50">
        <f t="shared" si="1"/>
        <v>250</v>
      </c>
      <c r="D31" s="53">
        <v>3000</v>
      </c>
      <c r="E31" s="47"/>
    </row>
    <row r="32" spans="1:1006" ht="15.75" customHeight="1" thickBot="1" x14ac:dyDescent="0.3">
      <c r="A32" s="58" t="s">
        <v>42</v>
      </c>
      <c r="B32" s="59" t="s">
        <v>43</v>
      </c>
      <c r="C32" s="60">
        <f t="shared" si="1"/>
        <v>1666.6666666666667</v>
      </c>
      <c r="D32" s="61">
        <v>20000</v>
      </c>
      <c r="E32" s="47"/>
    </row>
    <row r="33" spans="1:8" ht="15.75" customHeight="1" thickBot="1" x14ac:dyDescent="0.3">
      <c r="A33" s="62"/>
      <c r="B33" s="63"/>
      <c r="C33" s="64"/>
      <c r="D33" s="37"/>
      <c r="E33" s="65"/>
    </row>
    <row r="34" spans="1:8" ht="15.75" thickBot="1" x14ac:dyDescent="0.3">
      <c r="A34" s="66">
        <v>2</v>
      </c>
      <c r="B34" s="67" t="s">
        <v>44</v>
      </c>
      <c r="C34" s="68">
        <f>SUM(C35:C40)</f>
        <v>87386.981250000012</v>
      </c>
      <c r="D34" s="68">
        <f>SUM(D35:D40)</f>
        <v>1048643.7749999999</v>
      </c>
      <c r="E34" s="69">
        <f>D34/$D$7/12</f>
        <v>3.3589061268810174</v>
      </c>
    </row>
    <row r="35" spans="1:8" ht="30" customHeight="1" thickBot="1" x14ac:dyDescent="0.3">
      <c r="A35" s="70">
        <f t="shared" ref="A35:A40" si="2">A34+0.1</f>
        <v>2.1</v>
      </c>
      <c r="B35" s="71" t="s">
        <v>45</v>
      </c>
      <c r="C35" s="50">
        <f t="shared" ref="C35:C40" si="3">D35/12</f>
        <v>0</v>
      </c>
      <c r="D35" s="72">
        <v>0</v>
      </c>
      <c r="E35" s="69"/>
      <c r="H35" s="73"/>
    </row>
    <row r="36" spans="1:8" ht="15.75" thickBot="1" x14ac:dyDescent="0.3">
      <c r="A36" s="70">
        <f t="shared" si="2"/>
        <v>2.2000000000000002</v>
      </c>
      <c r="B36" s="71" t="s">
        <v>46</v>
      </c>
      <c r="C36" s="50">
        <f>D36/12</f>
        <v>60533.365833333337</v>
      </c>
      <c r="D36" s="74">
        <v>726400.39</v>
      </c>
      <c r="E36" s="69"/>
    </row>
    <row r="37" spans="1:8" ht="14.25" customHeight="1" thickBot="1" x14ac:dyDescent="0.3">
      <c r="A37" s="70">
        <f t="shared" si="2"/>
        <v>2.3000000000000003</v>
      </c>
      <c r="B37" s="71" t="s">
        <v>29</v>
      </c>
      <c r="C37" s="50">
        <f>D37/12</f>
        <v>18138.865416666667</v>
      </c>
      <c r="D37" s="74">
        <v>217666.38500000001</v>
      </c>
      <c r="E37" s="69"/>
    </row>
    <row r="38" spans="1:8" ht="30.75" thickBot="1" x14ac:dyDescent="0.3">
      <c r="A38" s="70">
        <f t="shared" si="2"/>
        <v>2.4000000000000004</v>
      </c>
      <c r="B38" s="71" t="s">
        <v>47</v>
      </c>
      <c r="C38" s="50">
        <f>D38/12</f>
        <v>2114.75</v>
      </c>
      <c r="D38" s="74">
        <v>25377</v>
      </c>
      <c r="E38" s="69"/>
    </row>
    <row r="39" spans="1:8" ht="15.75" customHeight="1" thickBot="1" x14ac:dyDescent="0.3">
      <c r="A39" s="70">
        <f t="shared" si="2"/>
        <v>2.5000000000000004</v>
      </c>
      <c r="B39" s="71" t="s">
        <v>48</v>
      </c>
      <c r="C39" s="50">
        <f>D39/12</f>
        <v>6600</v>
      </c>
      <c r="D39" s="75">
        <v>79200</v>
      </c>
      <c r="E39" s="69"/>
    </row>
    <row r="40" spans="1:8" ht="15.75" customHeight="1" thickBot="1" x14ac:dyDescent="0.3">
      <c r="A40" s="76">
        <f t="shared" si="2"/>
        <v>2.6000000000000005</v>
      </c>
      <c r="B40" s="77" t="s">
        <v>49</v>
      </c>
      <c r="C40" s="60">
        <f t="shared" si="3"/>
        <v>0</v>
      </c>
      <c r="D40" s="78">
        <v>0</v>
      </c>
      <c r="E40" s="69"/>
    </row>
    <row r="41" spans="1:8" ht="15.75" customHeight="1" thickBot="1" x14ac:dyDescent="0.3">
      <c r="A41" s="62"/>
      <c r="B41" s="63"/>
      <c r="C41" s="64"/>
      <c r="D41" s="37"/>
      <c r="E41" s="65"/>
    </row>
    <row r="42" spans="1:8" ht="15.75" thickBot="1" x14ac:dyDescent="0.3">
      <c r="A42" s="66">
        <v>3</v>
      </c>
      <c r="B42" s="67" t="s">
        <v>50</v>
      </c>
      <c r="C42" s="68">
        <f>SUM(C43:C45)</f>
        <v>71845.97083333334</v>
      </c>
      <c r="D42" s="68">
        <f>SUM(D43:D45)</f>
        <v>862151.65</v>
      </c>
      <c r="E42" s="69">
        <f>D42/D7/12</f>
        <v>2.7615540458298899</v>
      </c>
    </row>
    <row r="43" spans="1:8" ht="15.75" thickBot="1" x14ac:dyDescent="0.3">
      <c r="A43" s="70">
        <f>A42+0.1</f>
        <v>3.1</v>
      </c>
      <c r="B43" s="71" t="s">
        <v>51</v>
      </c>
      <c r="C43" s="50">
        <f>D43/12</f>
        <v>68970.97083333334</v>
      </c>
      <c r="D43" s="75">
        <v>827651.65</v>
      </c>
      <c r="E43" s="69"/>
    </row>
    <row r="44" spans="1:8" ht="41.25" customHeight="1" thickBot="1" x14ac:dyDescent="0.3">
      <c r="A44" s="70">
        <f>A43+0.1</f>
        <v>3.2</v>
      </c>
      <c r="B44" s="71" t="s">
        <v>52</v>
      </c>
      <c r="C44" s="50">
        <f>D44/12</f>
        <v>375</v>
      </c>
      <c r="D44" s="79">
        <v>4500</v>
      </c>
      <c r="E44" s="69"/>
    </row>
    <row r="45" spans="1:8" ht="15.75" customHeight="1" thickBot="1" x14ac:dyDescent="0.3">
      <c r="A45" s="76">
        <f>A44+0.1</f>
        <v>3.3000000000000003</v>
      </c>
      <c r="B45" s="77" t="s">
        <v>53</v>
      </c>
      <c r="C45" s="60">
        <f>D45/12</f>
        <v>2500</v>
      </c>
      <c r="D45" s="80">
        <v>30000</v>
      </c>
      <c r="E45" s="69"/>
    </row>
    <row r="46" spans="1:8" ht="15.75" thickBot="1" x14ac:dyDescent="0.3">
      <c r="A46" s="62"/>
      <c r="B46" s="63"/>
      <c r="C46" s="64"/>
      <c r="D46" s="81"/>
      <c r="E46" s="65"/>
    </row>
    <row r="47" spans="1:8" ht="15.75" thickBot="1" x14ac:dyDescent="0.3">
      <c r="A47" s="66">
        <v>4</v>
      </c>
      <c r="B47" s="82" t="s">
        <v>54</v>
      </c>
      <c r="C47" s="83">
        <f>SUM(C48:C53)</f>
        <v>89703.92833333333</v>
      </c>
      <c r="D47" s="83">
        <f>SUM(D48:D53)</f>
        <v>1076447.1399999999</v>
      </c>
      <c r="E47" s="69">
        <f>D47/D7/12</f>
        <v>3.4479629594039678</v>
      </c>
    </row>
    <row r="48" spans="1:8" ht="15.75" thickBot="1" x14ac:dyDescent="0.3">
      <c r="A48" s="70">
        <v>4.0999999999999996</v>
      </c>
      <c r="B48" s="71" t="s">
        <v>55</v>
      </c>
      <c r="C48" s="50">
        <f t="shared" ref="C48:C53" si="4">D48/12</f>
        <v>21551.728333333333</v>
      </c>
      <c r="D48" s="84">
        <f>9753.03+248867.71</f>
        <v>258620.74</v>
      </c>
      <c r="E48" s="69"/>
    </row>
    <row r="49" spans="1:5" ht="15.75" thickBot="1" x14ac:dyDescent="0.3">
      <c r="A49" s="70">
        <v>4.2</v>
      </c>
      <c r="B49" s="71" t="s">
        <v>56</v>
      </c>
      <c r="C49" s="50">
        <f t="shared" si="4"/>
        <v>3233</v>
      </c>
      <c r="D49" s="20">
        <v>38796</v>
      </c>
      <c r="E49" s="69"/>
    </row>
    <row r="50" spans="1:5" ht="15.75" thickBot="1" x14ac:dyDescent="0.3">
      <c r="A50" s="70">
        <v>4.3</v>
      </c>
      <c r="B50" s="71" t="s">
        <v>57</v>
      </c>
      <c r="C50" s="50">
        <f t="shared" si="4"/>
        <v>24166.666666666668</v>
      </c>
      <c r="D50" s="20">
        <v>290000</v>
      </c>
      <c r="E50" s="69"/>
    </row>
    <row r="51" spans="1:5" ht="15.75" thickBot="1" x14ac:dyDescent="0.3">
      <c r="A51" s="70">
        <v>4.5</v>
      </c>
      <c r="B51" s="71" t="s">
        <v>58</v>
      </c>
      <c r="C51" s="50">
        <f t="shared" si="4"/>
        <v>22036.583333333332</v>
      </c>
      <c r="D51" s="85">
        <v>264439</v>
      </c>
      <c r="E51" s="69"/>
    </row>
    <row r="52" spans="1:5" ht="15.75" customHeight="1" thickBot="1" x14ac:dyDescent="0.3">
      <c r="A52" s="70">
        <v>4.5999999999999996</v>
      </c>
      <c r="B52" s="71" t="s">
        <v>59</v>
      </c>
      <c r="C52" s="50">
        <f t="shared" si="4"/>
        <v>14375</v>
      </c>
      <c r="D52" s="86">
        <f>6900+165600</f>
        <v>172500</v>
      </c>
      <c r="E52" s="69"/>
    </row>
    <row r="53" spans="1:5" ht="15.75" customHeight="1" thickBot="1" x14ac:dyDescent="0.3">
      <c r="A53" s="76">
        <v>4.7</v>
      </c>
      <c r="B53" s="77" t="s">
        <v>29</v>
      </c>
      <c r="C53" s="60">
        <f t="shared" si="4"/>
        <v>4340.95</v>
      </c>
      <c r="D53" s="87">
        <f>2083.8+50007.6</f>
        <v>52091.4</v>
      </c>
      <c r="E53" s="69"/>
    </row>
    <row r="54" spans="1:5" ht="15.75" customHeight="1" thickBot="1" x14ac:dyDescent="0.3">
      <c r="A54" s="62"/>
      <c r="B54" s="63"/>
      <c r="C54" s="64"/>
      <c r="D54" s="81"/>
      <c r="E54" s="65"/>
    </row>
    <row r="55" spans="1:5" ht="15.75" thickBot="1" x14ac:dyDescent="0.3">
      <c r="A55" s="66">
        <v>5</v>
      </c>
      <c r="B55" s="67" t="s">
        <v>60</v>
      </c>
      <c r="C55" s="88">
        <f>SUM(C56:C58)</f>
        <v>28130.477499999997</v>
      </c>
      <c r="D55" s="89">
        <f>SUM(D56:D58)</f>
        <v>337565.73</v>
      </c>
      <c r="E55" s="69">
        <f>D55/D7/12</f>
        <v>1.0812552610843118</v>
      </c>
    </row>
    <row r="56" spans="1:5" ht="24" customHeight="1" thickBot="1" x14ac:dyDescent="0.3">
      <c r="A56" s="70">
        <f>A55+0.1</f>
        <v>5.0999999999999996</v>
      </c>
      <c r="B56" s="71" t="s">
        <v>61</v>
      </c>
      <c r="C56" s="50">
        <f>D56/12</f>
        <v>19476.621666666666</v>
      </c>
      <c r="D56" s="90">
        <f>8625+225094.46</f>
        <v>233719.46</v>
      </c>
      <c r="E56" s="69"/>
    </row>
    <row r="57" spans="1:5" ht="15.75" thickBot="1" x14ac:dyDescent="0.3">
      <c r="A57" s="70">
        <f>A56+0.1</f>
        <v>5.1999999999999993</v>
      </c>
      <c r="B57" s="71" t="s">
        <v>29</v>
      </c>
      <c r="C57" s="50">
        <f>D57/12</f>
        <v>5837.7466666666669</v>
      </c>
      <c r="D57" s="91">
        <f>2604.75+67448.21</f>
        <v>70052.960000000006</v>
      </c>
      <c r="E57" s="69"/>
    </row>
    <row r="58" spans="1:5" ht="27.75" customHeight="1" thickBot="1" x14ac:dyDescent="0.3">
      <c r="A58" s="76">
        <f>A57+0.1</f>
        <v>5.2999999999999989</v>
      </c>
      <c r="B58" s="77" t="s">
        <v>62</v>
      </c>
      <c r="C58" s="60">
        <f>D58/12</f>
        <v>2816.1091666666666</v>
      </c>
      <c r="D58" s="92">
        <v>33793.31</v>
      </c>
      <c r="E58" s="69"/>
    </row>
    <row r="59" spans="1:5" ht="15.75" thickBot="1" x14ac:dyDescent="0.3">
      <c r="A59" s="62"/>
      <c r="B59" s="63"/>
      <c r="C59" s="64"/>
      <c r="D59" s="81"/>
      <c r="E59" s="65"/>
    </row>
    <row r="60" spans="1:5" x14ac:dyDescent="0.25">
      <c r="A60" s="93">
        <v>6</v>
      </c>
      <c r="B60" s="94" t="s">
        <v>63</v>
      </c>
      <c r="C60" s="95">
        <f>SUM(C61:C70)</f>
        <v>70005.5</v>
      </c>
      <c r="D60" s="96">
        <f>SUM(D61:D70)</f>
        <v>840070</v>
      </c>
      <c r="E60" s="97">
        <f>D60/D7/12</f>
        <v>2.6908244127124452</v>
      </c>
    </row>
    <row r="61" spans="1:5" ht="15.75" hidden="1" customHeight="1" x14ac:dyDescent="0.25">
      <c r="A61" s="98">
        <v>6.1</v>
      </c>
      <c r="B61" s="99" t="s">
        <v>64</v>
      </c>
      <c r="C61" s="100">
        <v>45833</v>
      </c>
      <c r="D61" s="101">
        <v>550000</v>
      </c>
      <c r="E61" s="102"/>
    </row>
    <row r="62" spans="1:5" x14ac:dyDescent="0.25">
      <c r="A62" s="98">
        <v>6.2</v>
      </c>
      <c r="B62" s="99" t="s">
        <v>65</v>
      </c>
      <c r="C62" s="50">
        <f>D62/12</f>
        <v>4159.083333333333</v>
      </c>
      <c r="D62" s="103">
        <v>49909</v>
      </c>
      <c r="E62" s="102"/>
    </row>
    <row r="63" spans="1:5" x14ac:dyDescent="0.25">
      <c r="A63" s="98">
        <f t="shared" ref="A63" si="5">A62+0.1</f>
        <v>6.3</v>
      </c>
      <c r="B63" s="99" t="s">
        <v>66</v>
      </c>
      <c r="C63" s="50">
        <f>D63/12</f>
        <v>1833.3333333333333</v>
      </c>
      <c r="D63" s="103">
        <v>22000</v>
      </c>
      <c r="E63" s="102"/>
    </row>
    <row r="64" spans="1:5" ht="30" x14ac:dyDescent="0.25">
      <c r="A64" s="98">
        <v>6.4</v>
      </c>
      <c r="B64" s="99" t="s">
        <v>67</v>
      </c>
      <c r="C64" s="50">
        <f>D64/12</f>
        <v>4713.416666666667</v>
      </c>
      <c r="D64" s="104">
        <v>56561</v>
      </c>
      <c r="E64" s="102"/>
    </row>
    <row r="65" spans="1:5" x14ac:dyDescent="0.25">
      <c r="A65" s="105" t="s">
        <v>68</v>
      </c>
      <c r="B65" s="99" t="s">
        <v>69</v>
      </c>
      <c r="C65" s="50">
        <f>D65/12</f>
        <v>1666.6666666666667</v>
      </c>
      <c r="D65" s="106">
        <v>20000</v>
      </c>
      <c r="E65" s="102"/>
    </row>
    <row r="66" spans="1:5" x14ac:dyDescent="0.25">
      <c r="A66" s="98">
        <v>6.6</v>
      </c>
      <c r="B66" s="99" t="s">
        <v>70</v>
      </c>
      <c r="C66" s="50">
        <f t="shared" ref="C66:C70" si="6">D66/12</f>
        <v>0</v>
      </c>
      <c r="D66" s="106">
        <v>0</v>
      </c>
      <c r="E66" s="102"/>
    </row>
    <row r="67" spans="1:5" x14ac:dyDescent="0.25">
      <c r="A67" s="98">
        <v>6.7</v>
      </c>
      <c r="B67" s="99" t="s">
        <v>71</v>
      </c>
      <c r="C67" s="50">
        <f t="shared" si="6"/>
        <v>0</v>
      </c>
      <c r="D67" s="107">
        <v>0</v>
      </c>
      <c r="E67" s="102"/>
    </row>
    <row r="68" spans="1:5" ht="15.75" thickBot="1" x14ac:dyDescent="0.3">
      <c r="A68" s="108">
        <v>6.8</v>
      </c>
      <c r="B68" s="99" t="s">
        <v>72</v>
      </c>
      <c r="C68" s="50">
        <f>D68/12</f>
        <v>3466.6666666666665</v>
      </c>
      <c r="D68" s="106">
        <v>41600</v>
      </c>
      <c r="E68" s="109"/>
    </row>
    <row r="69" spans="1:5" ht="15.75" thickBot="1" x14ac:dyDescent="0.3">
      <c r="A69" s="108">
        <v>6.9</v>
      </c>
      <c r="B69" s="99" t="s">
        <v>73</v>
      </c>
      <c r="C69" s="50">
        <f>D69/12</f>
        <v>8333.3333333333339</v>
      </c>
      <c r="D69" s="106">
        <v>100000</v>
      </c>
      <c r="E69" s="109"/>
    </row>
    <row r="70" spans="1:5" ht="15.75" thickBot="1" x14ac:dyDescent="0.3">
      <c r="A70" s="108">
        <v>6.1</v>
      </c>
      <c r="B70" s="99" t="s">
        <v>74</v>
      </c>
      <c r="C70" s="50">
        <f t="shared" si="6"/>
        <v>0</v>
      </c>
      <c r="D70" s="106">
        <v>0</v>
      </c>
      <c r="E70" s="110"/>
    </row>
    <row r="71" spans="1:5" ht="15.75" thickBot="1" x14ac:dyDescent="0.3">
      <c r="A71" s="111"/>
      <c r="B71" s="111"/>
      <c r="C71" s="64"/>
      <c r="D71" s="81"/>
      <c r="E71" s="65"/>
    </row>
    <row r="72" spans="1:5" ht="15.75" customHeight="1" thickBot="1" x14ac:dyDescent="0.3">
      <c r="A72" s="112" t="s">
        <v>7</v>
      </c>
      <c r="B72" s="113" t="s">
        <v>8</v>
      </c>
      <c r="C72" s="113" t="s">
        <v>9</v>
      </c>
      <c r="D72" s="114"/>
      <c r="E72" s="115" t="s">
        <v>24</v>
      </c>
    </row>
    <row r="73" spans="1:5" ht="15.75" thickBot="1" x14ac:dyDescent="0.3">
      <c r="A73" s="116">
        <v>7</v>
      </c>
      <c r="B73" s="117" t="s">
        <v>75</v>
      </c>
      <c r="C73" s="88">
        <f>SUM(C74:C75)</f>
        <v>12500</v>
      </c>
      <c r="D73" s="118">
        <f>SUM(D74:D75)</f>
        <v>150000</v>
      </c>
      <c r="E73" s="69">
        <f>D73/D7/12</f>
        <v>0.48046432071954337</v>
      </c>
    </row>
    <row r="74" spans="1:5" ht="15.75" thickBot="1" x14ac:dyDescent="0.3">
      <c r="A74" s="119">
        <f>A73+0.1</f>
        <v>7.1</v>
      </c>
      <c r="B74" s="120" t="s">
        <v>76</v>
      </c>
      <c r="C74" s="50">
        <f>D74/12</f>
        <v>4166.666666666667</v>
      </c>
      <c r="D74" s="90">
        <v>50000</v>
      </c>
      <c r="E74" s="69"/>
    </row>
    <row r="75" spans="1:5" ht="15.75" thickBot="1" x14ac:dyDescent="0.3">
      <c r="A75" s="98">
        <f>A74+0.1</f>
        <v>7.1999999999999993</v>
      </c>
      <c r="B75" s="99" t="s">
        <v>77</v>
      </c>
      <c r="C75" s="50">
        <f>D75/12</f>
        <v>8333.3333333333339</v>
      </c>
      <c r="D75" s="91">
        <v>100000</v>
      </c>
      <c r="E75" s="69"/>
    </row>
    <row r="76" spans="1:5" ht="15.75" thickBot="1" x14ac:dyDescent="0.3">
      <c r="A76" s="62"/>
      <c r="B76" s="63"/>
      <c r="C76" s="64"/>
      <c r="D76" s="81"/>
      <c r="E76" s="65"/>
    </row>
    <row r="77" spans="1:5" ht="15.75" thickBot="1" x14ac:dyDescent="0.3">
      <c r="A77" s="66">
        <v>8</v>
      </c>
      <c r="B77" s="67" t="s">
        <v>78</v>
      </c>
      <c r="C77" s="121">
        <f>SUM(C78:C91)</f>
        <v>213217.38666666666</v>
      </c>
      <c r="D77" s="121">
        <f>SUM(D78:D91)</f>
        <v>2558608.64</v>
      </c>
      <c r="E77" s="69">
        <f>D77/D7/12</f>
        <v>8.1954677480316978</v>
      </c>
    </row>
    <row r="78" spans="1:5" ht="15.75" thickBot="1" x14ac:dyDescent="0.3">
      <c r="A78" s="98">
        <f t="shared" ref="A78:A86" si="7">A77+0.1</f>
        <v>8.1</v>
      </c>
      <c r="B78" s="99" t="s">
        <v>79</v>
      </c>
      <c r="C78" s="50">
        <f t="shared" ref="C78:C91" si="8">D78/12</f>
        <v>91079.48583333334</v>
      </c>
      <c r="D78" s="122">
        <f>40250+1052703.83</f>
        <v>1092953.83</v>
      </c>
      <c r="E78" s="69"/>
    </row>
    <row r="79" spans="1:5" ht="15.75" thickBot="1" x14ac:dyDescent="0.3">
      <c r="A79" s="98">
        <f t="shared" si="7"/>
        <v>8.1999999999999993</v>
      </c>
      <c r="B79" s="99" t="s">
        <v>80</v>
      </c>
      <c r="C79" s="50">
        <f t="shared" si="8"/>
        <v>45717.214166666665</v>
      </c>
      <c r="D79" s="123">
        <f>20125+528481.57</f>
        <v>548606.56999999995</v>
      </c>
      <c r="E79" s="69"/>
    </row>
    <row r="80" spans="1:5" ht="15.75" thickBot="1" x14ac:dyDescent="0.3">
      <c r="A80" s="98">
        <f t="shared" si="7"/>
        <v>8.2999999999999989</v>
      </c>
      <c r="B80" s="99" t="s">
        <v>81</v>
      </c>
      <c r="C80" s="50">
        <f t="shared" si="8"/>
        <v>12931</v>
      </c>
      <c r="D80" s="123">
        <f>5750+149422</f>
        <v>155172</v>
      </c>
      <c r="E80" s="69"/>
    </row>
    <row r="81" spans="1:5" ht="15.75" thickBot="1" x14ac:dyDescent="0.3">
      <c r="A81" s="98">
        <f t="shared" si="7"/>
        <v>8.3999999999999986</v>
      </c>
      <c r="B81" s="99" t="s">
        <v>29</v>
      </c>
      <c r="C81" s="50">
        <f t="shared" si="8"/>
        <v>44943.942500000005</v>
      </c>
      <c r="D81" s="123">
        <f>19969.75+519357.56</f>
        <v>539327.31000000006</v>
      </c>
      <c r="E81" s="69"/>
    </row>
    <row r="82" spans="1:5" ht="15.75" thickBot="1" x14ac:dyDescent="0.3">
      <c r="A82" s="98">
        <f t="shared" si="7"/>
        <v>8.4999999999999982</v>
      </c>
      <c r="B82" s="99" t="s">
        <v>82</v>
      </c>
      <c r="C82" s="50">
        <f t="shared" si="8"/>
        <v>2666.6666666666665</v>
      </c>
      <c r="D82" s="123">
        <v>32000</v>
      </c>
      <c r="E82" s="69"/>
    </row>
    <row r="83" spans="1:5" ht="15.75" thickBot="1" x14ac:dyDescent="0.3">
      <c r="A83" s="98">
        <f t="shared" si="7"/>
        <v>8.5999999999999979</v>
      </c>
      <c r="B83" s="99" t="s">
        <v>83</v>
      </c>
      <c r="C83" s="50">
        <f t="shared" si="8"/>
        <v>200</v>
      </c>
      <c r="D83" s="123">
        <v>2400</v>
      </c>
      <c r="E83" s="69"/>
    </row>
    <row r="84" spans="1:5" ht="15.75" thickBot="1" x14ac:dyDescent="0.3">
      <c r="A84" s="98">
        <f t="shared" si="7"/>
        <v>8.6999999999999975</v>
      </c>
      <c r="B84" s="99" t="s">
        <v>84</v>
      </c>
      <c r="C84" s="50">
        <f t="shared" si="8"/>
        <v>4278.083333333333</v>
      </c>
      <c r="D84" s="123">
        <v>51337</v>
      </c>
      <c r="E84" s="69"/>
    </row>
    <row r="85" spans="1:5" ht="15.75" thickBot="1" x14ac:dyDescent="0.3">
      <c r="A85" s="98">
        <f t="shared" si="7"/>
        <v>8.7999999999999972</v>
      </c>
      <c r="B85" s="99" t="s">
        <v>85</v>
      </c>
      <c r="C85" s="50">
        <f t="shared" si="8"/>
        <v>2106.2666666666669</v>
      </c>
      <c r="D85" s="124">
        <v>25275.200000000001</v>
      </c>
      <c r="E85" s="69"/>
    </row>
    <row r="86" spans="1:5" ht="15.75" customHeight="1" thickBot="1" x14ac:dyDescent="0.3">
      <c r="A86" s="98">
        <f t="shared" si="7"/>
        <v>8.8999999999999968</v>
      </c>
      <c r="B86" s="99" t="s">
        <v>86</v>
      </c>
      <c r="C86" s="50">
        <f t="shared" si="8"/>
        <v>927.125</v>
      </c>
      <c r="D86" s="125">
        <v>11125.5</v>
      </c>
      <c r="E86" s="69"/>
    </row>
    <row r="87" spans="1:5" ht="15.75" customHeight="1" thickBot="1" x14ac:dyDescent="0.3">
      <c r="A87" s="105" t="s">
        <v>87</v>
      </c>
      <c r="B87" s="99" t="s">
        <v>88</v>
      </c>
      <c r="C87" s="50">
        <f t="shared" si="8"/>
        <v>3519</v>
      </c>
      <c r="D87" s="124">
        <v>42228</v>
      </c>
      <c r="E87" s="69"/>
    </row>
    <row r="88" spans="1:5" ht="15.75" thickBot="1" x14ac:dyDescent="0.3">
      <c r="A88" s="98">
        <v>8.11</v>
      </c>
      <c r="B88" s="99" t="s">
        <v>89</v>
      </c>
      <c r="C88" s="50">
        <f t="shared" si="8"/>
        <v>690.91666666666663</v>
      </c>
      <c r="D88" s="124">
        <v>8291</v>
      </c>
      <c r="E88" s="69"/>
    </row>
    <row r="89" spans="1:5" ht="15.75" thickBot="1" x14ac:dyDescent="0.3">
      <c r="A89" s="98">
        <v>8.1199999999999992</v>
      </c>
      <c r="B89" s="99" t="s">
        <v>90</v>
      </c>
      <c r="C89" s="50">
        <f t="shared" si="8"/>
        <v>1259.2691666666667</v>
      </c>
      <c r="D89" s="122">
        <v>15111.23</v>
      </c>
      <c r="E89" s="69"/>
    </row>
    <row r="90" spans="1:5" ht="15.75" thickBot="1" x14ac:dyDescent="0.3">
      <c r="A90" s="98">
        <v>8.1300000000000008</v>
      </c>
      <c r="B90" s="99" t="s">
        <v>91</v>
      </c>
      <c r="C90" s="50">
        <f t="shared" si="8"/>
        <v>2481.75</v>
      </c>
      <c r="D90" s="123">
        <v>29781</v>
      </c>
      <c r="E90" s="69"/>
    </row>
    <row r="91" spans="1:5" ht="15.75" thickBot="1" x14ac:dyDescent="0.3">
      <c r="A91" s="126">
        <v>8.14</v>
      </c>
      <c r="B91" s="127" t="s">
        <v>92</v>
      </c>
      <c r="C91" s="50">
        <f t="shared" si="8"/>
        <v>416.66666666666669</v>
      </c>
      <c r="D91" s="92">
        <v>5000</v>
      </c>
      <c r="E91" s="69"/>
    </row>
    <row r="92" spans="1:5" x14ac:dyDescent="0.25">
      <c r="A92" s="128"/>
      <c r="B92" s="63"/>
      <c r="C92" s="64"/>
      <c r="D92" s="81"/>
      <c r="E92" s="6"/>
    </row>
    <row r="93" spans="1:5" ht="15.75" thickBot="1" x14ac:dyDescent="0.3">
      <c r="A93" s="6"/>
      <c r="B93" s="129" t="s">
        <v>93</v>
      </c>
      <c r="C93" s="130">
        <f>C19</f>
        <v>785604.24750000006</v>
      </c>
      <c r="D93" s="130">
        <f>D19</f>
        <v>9427250.9700000007</v>
      </c>
      <c r="E93" s="131">
        <f>E77+E73+E60+E55+E47+E42+E34+E23</f>
        <v>30.196384906373517</v>
      </c>
    </row>
    <row r="94" spans="1:5" ht="15.75" thickBot="1" x14ac:dyDescent="0.3">
      <c r="A94" s="6"/>
      <c r="B94" s="129" t="s">
        <v>94</v>
      </c>
      <c r="C94" s="130">
        <f>C23+C34+C42+C47+C55+C60+C73+C77+0.33</f>
        <v>785604.24458333326</v>
      </c>
      <c r="D94" s="130">
        <f>D23+D34+D42+D47+D55+D60+D73+D77-0.01</f>
        <v>9427250.9649999999</v>
      </c>
      <c r="E94" s="131">
        <f>D93-D94</f>
        <v>5.0000008195638657E-3</v>
      </c>
    </row>
    <row r="95" spans="1:5" x14ac:dyDescent="0.25">
      <c r="A95" s="6"/>
      <c r="B95" s="132" t="s">
        <v>95</v>
      </c>
      <c r="C95" s="133">
        <f>C93-C94</f>
        <v>2.9166667954996228E-3</v>
      </c>
      <c r="D95" s="134">
        <v>0</v>
      </c>
      <c r="E95" s="6"/>
    </row>
    <row r="96" spans="1:5" x14ac:dyDescent="0.25">
      <c r="A96" s="6"/>
      <c r="B96" s="135"/>
      <c r="C96" s="5"/>
      <c r="D96" s="5"/>
      <c r="E96" s="131">
        <f>D94/D7/12</f>
        <v>30.196384874342566</v>
      </c>
    </row>
    <row r="97" spans="1:5" x14ac:dyDescent="0.25">
      <c r="A97" s="6"/>
      <c r="B97" s="135" t="s">
        <v>96</v>
      </c>
      <c r="C97" s="136"/>
      <c r="D97" s="5" t="s">
        <v>97</v>
      </c>
      <c r="E97" s="6"/>
    </row>
    <row r="98" spans="1:5" x14ac:dyDescent="0.25">
      <c r="A98" s="6"/>
      <c r="B98" s="6"/>
      <c r="C98" s="6"/>
      <c r="D98" s="6"/>
      <c r="E98" s="131">
        <f>E96-E93</f>
        <v>-3.2030950336547903E-8</v>
      </c>
    </row>
    <row r="99" spans="1:5" x14ac:dyDescent="0.25">
      <c r="A99" s="6"/>
      <c r="B99" s="6"/>
      <c r="C99" s="6"/>
      <c r="D99" s="6"/>
      <c r="E99" s="6"/>
    </row>
    <row r="100" spans="1:5" x14ac:dyDescent="0.25">
      <c r="A100" s="6"/>
      <c r="B100" s="6"/>
      <c r="C100" s="6"/>
      <c r="D100" s="6"/>
      <c r="E100" s="6"/>
    </row>
    <row r="101" spans="1:5" x14ac:dyDescent="0.25">
      <c r="A101" s="6"/>
      <c r="B101" s="6"/>
      <c r="C101" s="6"/>
      <c r="D101" s="6"/>
      <c r="E101" s="6"/>
    </row>
    <row r="102" spans="1:5" x14ac:dyDescent="0.25">
      <c r="A102" s="6"/>
      <c r="B102" s="6"/>
      <c r="C102" s="6"/>
      <c r="D102" s="6"/>
      <c r="E102" s="6"/>
    </row>
    <row r="103" spans="1:5" x14ac:dyDescent="0.25">
      <c r="A103" s="6"/>
      <c r="B103" s="6"/>
      <c r="C103" s="6"/>
      <c r="D103" s="6"/>
      <c r="E103" s="6"/>
    </row>
    <row r="104" spans="1:5" x14ac:dyDescent="0.25">
      <c r="A104" s="6"/>
      <c r="B104" s="6"/>
      <c r="C104" s="6"/>
      <c r="D104" s="6"/>
      <c r="E104" s="6"/>
    </row>
    <row r="105" spans="1:5" x14ac:dyDescent="0.25">
      <c r="A105" s="6"/>
      <c r="B105" s="6"/>
      <c r="C105" s="6"/>
      <c r="D105" s="6"/>
      <c r="E105" s="6"/>
    </row>
    <row r="106" spans="1:5" x14ac:dyDescent="0.25">
      <c r="A106" s="6"/>
      <c r="B106" s="6"/>
      <c r="C106" s="6"/>
      <c r="D106" s="6"/>
      <c r="E106" s="6"/>
    </row>
    <row r="107" spans="1:5" x14ac:dyDescent="0.25">
      <c r="A107" s="6"/>
      <c r="B107" s="6"/>
      <c r="C107" s="6"/>
      <c r="D107" s="6"/>
      <c r="E107" s="6"/>
    </row>
    <row r="108" spans="1:5" x14ac:dyDescent="0.25">
      <c r="A108" s="6"/>
      <c r="B108" s="6"/>
      <c r="C108" s="6"/>
      <c r="D108" s="6"/>
      <c r="E108" s="6"/>
    </row>
    <row r="109" spans="1:5" x14ac:dyDescent="0.25">
      <c r="A109" s="6"/>
      <c r="B109" s="6"/>
      <c r="C109" s="6"/>
      <c r="D109" s="6"/>
      <c r="E109" s="6"/>
    </row>
    <row r="110" spans="1:5" x14ac:dyDescent="0.25">
      <c r="A110" s="6"/>
      <c r="B110" s="6"/>
      <c r="C110" s="6"/>
      <c r="D110" s="6"/>
      <c r="E110" s="6"/>
    </row>
    <row r="111" spans="1:5" x14ac:dyDescent="0.25">
      <c r="A111" s="6"/>
      <c r="B111" s="6"/>
      <c r="C111" s="6"/>
      <c r="D111" s="6"/>
      <c r="E111" s="6"/>
    </row>
    <row r="112" spans="1:5" x14ac:dyDescent="0.25">
      <c r="A112" s="6"/>
      <c r="B112" s="6"/>
      <c r="C112" s="6"/>
      <c r="D112" s="6"/>
      <c r="E112" s="6"/>
    </row>
    <row r="113" spans="1:5" x14ac:dyDescent="0.25">
      <c r="A113" s="6"/>
      <c r="B113" s="6"/>
      <c r="C113" s="6"/>
      <c r="D113" s="6"/>
      <c r="E113" s="6"/>
    </row>
    <row r="114" spans="1:5" x14ac:dyDescent="0.25">
      <c r="A114" s="6"/>
      <c r="B114" s="6"/>
      <c r="C114" s="6"/>
      <c r="D114" s="6"/>
      <c r="E114" s="6"/>
    </row>
    <row r="115" spans="1:5" x14ac:dyDescent="0.25">
      <c r="A115" s="6"/>
      <c r="B115" s="6"/>
      <c r="C115" s="6"/>
      <c r="D115" s="6"/>
      <c r="E115" s="6"/>
    </row>
    <row r="116" spans="1:5" x14ac:dyDescent="0.25">
      <c r="D116" s="6"/>
    </row>
  </sheetData>
  <mergeCells count="14">
    <mergeCell ref="E73:E75"/>
    <mergeCell ref="E77:E91"/>
    <mergeCell ref="E34:E40"/>
    <mergeCell ref="E42:E45"/>
    <mergeCell ref="E47:E53"/>
    <mergeCell ref="E55:E58"/>
    <mergeCell ref="E60:E70"/>
    <mergeCell ref="A71:B71"/>
    <mergeCell ref="C1:D1"/>
    <mergeCell ref="C2:D2"/>
    <mergeCell ref="C3:D3"/>
    <mergeCell ref="C4:D4"/>
    <mergeCell ref="E9:E19"/>
    <mergeCell ref="E23:E32"/>
  </mergeCells>
  <pageMargins left="0.70866141732283472" right="0.70866141732283472" top="0.74803149606299213" bottom="0.74803149606299213" header="0.51181102362204722" footer="0.51181102362204722"/>
  <pageSetup paperSize="9" scale="43" firstPageNumber="0" fitToHeight="0" orientation="portrait" horizontalDpi="300" verticalDpi="300" r:id="rId1"/>
  <colBreaks count="2" manualBreakCount="2">
    <brk id="1" max="116" man="1"/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ШР 2020 Г</vt:lpstr>
      <vt:lpstr>СМЕТА ПРОЕКТ 2020 Г</vt:lpstr>
      <vt:lpstr>'СМЕТА ПРОЕКТ 2020 Г'!_ФильтрБазыДанных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Шонов</dc:creator>
  <cp:lastModifiedBy>Евгений Шонов</cp:lastModifiedBy>
  <dcterms:created xsi:type="dcterms:W3CDTF">2021-02-14T06:52:01Z</dcterms:created>
  <dcterms:modified xsi:type="dcterms:W3CDTF">2021-02-14T06:53:07Z</dcterms:modified>
</cp:coreProperties>
</file>